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6605" windowHeight="9435" activeTab="4"/>
  </bookViews>
  <sheets>
    <sheet name="Rovat Önk. 2020" sheetId="1" r:id="rId1"/>
    <sheet name="Rovat Tem. 2020" sheetId="3" r:id="rId2"/>
    <sheet name="Rovat Ovi 2020" sheetId="4" r:id="rId3"/>
    <sheet name="Rovat Hiv.2020" sheetId="5" r:id="rId4"/>
    <sheet name="összesen" sheetId="2" r:id="rId5"/>
  </sheets>
  <externalReferences>
    <externalReference r:id="rId6"/>
  </externalReferences>
  <definedNames>
    <definedName name="_xlnm.Print_Area" localSheetId="1">'Rovat Tem. 2020'!$A$1:$O$276</definedName>
  </definedNames>
  <calcPr calcId="124519"/>
</workbook>
</file>

<file path=xl/calcChain.xml><?xml version="1.0" encoding="utf-8"?>
<calcChain xmlns="http://schemas.openxmlformats.org/spreadsheetml/2006/main">
  <c r="C50" i="3"/>
  <c r="M25" i="1" l="1"/>
  <c r="N25"/>
  <c r="O25"/>
  <c r="P25"/>
  <c r="Q25"/>
  <c r="R25"/>
  <c r="S25"/>
  <c r="T25"/>
  <c r="U25"/>
  <c r="L25"/>
  <c r="S17"/>
  <c r="T17"/>
  <c r="U17"/>
  <c r="U16"/>
  <c r="U6"/>
  <c r="D263"/>
  <c r="E263"/>
  <c r="F263"/>
  <c r="C263"/>
  <c r="C241"/>
  <c r="D241"/>
  <c r="F241" s="1"/>
  <c r="F83" l="1"/>
  <c r="F86" s="1"/>
  <c r="H189"/>
  <c r="C253" l="1"/>
  <c r="F167"/>
  <c r="H139" l="1"/>
  <c r="P75"/>
  <c r="Q75"/>
  <c r="D45"/>
  <c r="K30" i="3" l="1"/>
  <c r="J7"/>
  <c r="I160" i="4"/>
  <c r="H42"/>
  <c r="H7"/>
  <c r="G7"/>
  <c r="F7"/>
  <c r="E7"/>
  <c r="D7"/>
  <c r="J6" i="3"/>
  <c r="O19" i="1"/>
  <c r="O6"/>
  <c r="N6"/>
  <c r="L6" l="1"/>
  <c r="H214"/>
  <c r="C254"/>
  <c r="O209" i="3"/>
  <c r="M42"/>
  <c r="L42"/>
  <c r="G266"/>
  <c r="G264"/>
  <c r="G260"/>
  <c r="D264"/>
  <c r="F264" s="1"/>
  <c r="D260"/>
  <c r="F260" s="1"/>
  <c r="D262"/>
  <c r="F262" s="1"/>
  <c r="F237"/>
  <c r="D237"/>
  <c r="F236"/>
  <c r="E267"/>
  <c r="C267"/>
  <c r="D266"/>
  <c r="F266" s="1"/>
  <c r="D265"/>
  <c r="F265" s="1"/>
  <c r="D263"/>
  <c r="F263" s="1"/>
  <c r="D261"/>
  <c r="F261" s="1"/>
  <c r="F259"/>
  <c r="D259"/>
  <c r="F258"/>
  <c r="D258"/>
  <c r="F257"/>
  <c r="D257"/>
  <c r="F256"/>
  <c r="D256"/>
  <c r="F255"/>
  <c r="D255"/>
  <c r="F254"/>
  <c r="D254"/>
  <c r="F253"/>
  <c r="D253"/>
  <c r="J202" i="4"/>
  <c r="E196" i="5"/>
  <c r="H83" i="4"/>
  <c r="D267" i="3" l="1"/>
  <c r="F267"/>
  <c r="D244" i="1"/>
  <c r="F244" s="1"/>
  <c r="D243"/>
  <c r="F243" s="1"/>
  <c r="J47" i="3"/>
  <c r="K44" i="1" l="1"/>
  <c r="D19"/>
  <c r="E25"/>
  <c r="F25"/>
  <c r="G25"/>
  <c r="H25"/>
  <c r="I25"/>
  <c r="J25"/>
  <c r="K25"/>
  <c r="V25"/>
  <c r="W25"/>
  <c r="D25"/>
  <c r="D18"/>
  <c r="H213" l="1"/>
  <c r="M159" i="3"/>
  <c r="M168" s="1"/>
  <c r="F166" i="1"/>
  <c r="C229" i="5"/>
  <c r="G130" i="1" l="1"/>
  <c r="K25" i="3"/>
  <c r="L25"/>
  <c r="M25"/>
  <c r="J25"/>
  <c r="J13"/>
  <c r="J16"/>
  <c r="D232" i="4" l="1"/>
  <c r="H87"/>
  <c r="C237"/>
  <c r="C239"/>
  <c r="H44"/>
  <c r="E52"/>
  <c r="H161"/>
  <c r="F160"/>
  <c r="F161" s="1"/>
  <c r="I161"/>
  <c r="I29"/>
  <c r="F29" l="1"/>
  <c r="E29"/>
  <c r="H16"/>
  <c r="D16"/>
  <c r="E16"/>
  <c r="G16"/>
  <c r="F16"/>
  <c r="C223" i="5" l="1"/>
  <c r="C224" s="1"/>
  <c r="C8" l="1"/>
  <c r="D242" i="3" l="1"/>
  <c r="F242" s="1"/>
  <c r="E250"/>
  <c r="D249"/>
  <c r="F249" s="1"/>
  <c r="D248"/>
  <c r="F248" s="1"/>
  <c r="D247"/>
  <c r="F247" s="1"/>
  <c r="D246"/>
  <c r="D245"/>
  <c r="F245" s="1"/>
  <c r="D244"/>
  <c r="D243"/>
  <c r="F243" s="1"/>
  <c r="D241"/>
  <c r="F241" s="1"/>
  <c r="D240"/>
  <c r="F240" s="1"/>
  <c r="D239"/>
  <c r="F239" s="1"/>
  <c r="D238"/>
  <c r="F238" s="1"/>
  <c r="C250"/>
  <c r="J84" s="1"/>
  <c r="J87" s="1"/>
  <c r="D235"/>
  <c r="F235" s="1"/>
  <c r="F244" l="1"/>
  <c r="F246"/>
  <c r="D242" i="1"/>
  <c r="F242" s="1"/>
  <c r="D246"/>
  <c r="F246" s="1"/>
  <c r="E161" i="5"/>
  <c r="F44" i="1"/>
  <c r="D25" i="3"/>
  <c r="E25"/>
  <c r="F25"/>
  <c r="G25"/>
  <c r="H25"/>
  <c r="I25"/>
  <c r="N25"/>
  <c r="O25"/>
  <c r="J25" i="4"/>
  <c r="E25"/>
  <c r="F25"/>
  <c r="G25"/>
  <c r="I25"/>
  <c r="F250" i="3" l="1"/>
  <c r="D250"/>
  <c r="D250" i="1" l="1"/>
  <c r="F250" s="1"/>
  <c r="F51" l="1"/>
  <c r="D253"/>
  <c r="D245"/>
  <c r="D247"/>
  <c r="D248"/>
  <c r="D249"/>
  <c r="D251"/>
  <c r="D252"/>
  <c r="D254"/>
  <c r="D261"/>
  <c r="D262"/>
  <c r="C177"/>
  <c r="C172" i="3" l="1"/>
  <c r="C165" i="4"/>
  <c r="D13" l="1"/>
  <c r="F218"/>
  <c r="F212"/>
  <c r="F219" s="1"/>
  <c r="F188"/>
  <c r="F184"/>
  <c r="F178"/>
  <c r="F171"/>
  <c r="F155"/>
  <c r="F141"/>
  <c r="F125"/>
  <c r="F127" s="1"/>
  <c r="F93"/>
  <c r="F88"/>
  <c r="F79"/>
  <c r="F65"/>
  <c r="F46"/>
  <c r="F36"/>
  <c r="F35" s="1"/>
  <c r="F32"/>
  <c r="F28"/>
  <c r="F26" s="1"/>
  <c r="F17"/>
  <c r="F5"/>
  <c r="G218"/>
  <c r="G212"/>
  <c r="G188"/>
  <c r="G184"/>
  <c r="G178"/>
  <c r="G171"/>
  <c r="G161"/>
  <c r="G167" s="1"/>
  <c r="G155"/>
  <c r="G141"/>
  <c r="G125"/>
  <c r="G127" s="1"/>
  <c r="G93"/>
  <c r="G88"/>
  <c r="G79"/>
  <c r="G65"/>
  <c r="G46"/>
  <c r="G36"/>
  <c r="G35" s="1"/>
  <c r="G32"/>
  <c r="G28"/>
  <c r="G26" s="1"/>
  <c r="G17"/>
  <c r="G5"/>
  <c r="D10" i="5"/>
  <c r="D25" s="1"/>
  <c r="G172" i="4" l="1"/>
  <c r="G189"/>
  <c r="F51"/>
  <c r="F52" s="1"/>
  <c r="G103"/>
  <c r="F50"/>
  <c r="F49"/>
  <c r="F56" s="1"/>
  <c r="F21"/>
  <c r="F23" s="1"/>
  <c r="G21"/>
  <c r="G23" s="1"/>
  <c r="G219"/>
  <c r="F103"/>
  <c r="F189"/>
  <c r="F167"/>
  <c r="F172" s="1"/>
  <c r="G22"/>
  <c r="G51"/>
  <c r="G50"/>
  <c r="G190"/>
  <c r="G192"/>
  <c r="F190" l="1"/>
  <c r="F220" s="1"/>
  <c r="G49"/>
  <c r="G56" s="1"/>
  <c r="F192"/>
  <c r="G220"/>
  <c r="F22"/>
  <c r="G80" l="1"/>
  <c r="G191" s="1"/>
  <c r="G104"/>
  <c r="G128" s="1"/>
  <c r="G222" s="1"/>
  <c r="F80"/>
  <c r="F191" s="1"/>
  <c r="F104"/>
  <c r="F128" s="1"/>
  <c r="F222" s="1"/>
  <c r="E211" i="5" l="1"/>
  <c r="C160"/>
  <c r="E41"/>
  <c r="E33"/>
  <c r="C27"/>
  <c r="D17"/>
  <c r="C48" i="1" l="1"/>
  <c r="F254"/>
  <c r="F261"/>
  <c r="F262"/>
  <c r="C45"/>
  <c r="F251"/>
  <c r="F248"/>
  <c r="F245"/>
  <c r="F247"/>
  <c r="I119"/>
  <c r="J119"/>
  <c r="K119"/>
  <c r="L119"/>
  <c r="M119"/>
  <c r="N119"/>
  <c r="O119"/>
  <c r="P119"/>
  <c r="Q119"/>
  <c r="R119"/>
  <c r="S119"/>
  <c r="T119"/>
  <c r="U119"/>
  <c r="V119"/>
  <c r="W119"/>
  <c r="D119"/>
  <c r="E119"/>
  <c r="F119"/>
  <c r="G119"/>
  <c r="H119"/>
  <c r="C77"/>
  <c r="F252"/>
  <c r="F249"/>
  <c r="E157"/>
  <c r="F157"/>
  <c r="F173" s="1"/>
  <c r="G157"/>
  <c r="H157"/>
  <c r="I157"/>
  <c r="J157"/>
  <c r="K157"/>
  <c r="L157"/>
  <c r="M157"/>
  <c r="N157"/>
  <c r="O157"/>
  <c r="P157"/>
  <c r="Q157"/>
  <c r="R157"/>
  <c r="S157"/>
  <c r="T157"/>
  <c r="U157"/>
  <c r="V157"/>
  <c r="W157"/>
  <c r="D157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H51" i="4"/>
  <c r="E120" i="3"/>
  <c r="F120"/>
  <c r="G120"/>
  <c r="H120"/>
  <c r="I120"/>
  <c r="J120"/>
  <c r="K120"/>
  <c r="L120"/>
  <c r="M120"/>
  <c r="N120"/>
  <c r="O120"/>
  <c r="D120"/>
  <c r="E35"/>
  <c r="F35"/>
  <c r="G35"/>
  <c r="H35"/>
  <c r="I35"/>
  <c r="J35"/>
  <c r="K35"/>
  <c r="L35"/>
  <c r="M35"/>
  <c r="N35"/>
  <c r="O35"/>
  <c r="D35"/>
  <c r="E36"/>
  <c r="F36"/>
  <c r="G36"/>
  <c r="H36"/>
  <c r="I36"/>
  <c r="J36"/>
  <c r="K36"/>
  <c r="L36"/>
  <c r="M36"/>
  <c r="N36"/>
  <c r="O36"/>
  <c r="E17"/>
  <c r="F17"/>
  <c r="G17"/>
  <c r="H17"/>
  <c r="I17"/>
  <c r="J17"/>
  <c r="K17"/>
  <c r="L17"/>
  <c r="M17"/>
  <c r="N17"/>
  <c r="O17"/>
  <c r="D17"/>
  <c r="E5"/>
  <c r="E21" s="1"/>
  <c r="E23" s="1"/>
  <c r="F5"/>
  <c r="F21" s="1"/>
  <c r="F23" s="1"/>
  <c r="G5"/>
  <c r="G21" s="1"/>
  <c r="G23" s="1"/>
  <c r="H5"/>
  <c r="H21" s="1"/>
  <c r="H23" s="1"/>
  <c r="I5"/>
  <c r="I21" s="1"/>
  <c r="I23" s="1"/>
  <c r="J5"/>
  <c r="J21" s="1"/>
  <c r="J23" s="1"/>
  <c r="K5"/>
  <c r="L5"/>
  <c r="L21" s="1"/>
  <c r="L23" s="1"/>
  <c r="M5"/>
  <c r="M21" s="1"/>
  <c r="M23" s="1"/>
  <c r="N5"/>
  <c r="N21" s="1"/>
  <c r="N23" s="1"/>
  <c r="O5"/>
  <c r="O21" s="1"/>
  <c r="O23" s="1"/>
  <c r="D5"/>
  <c r="D21" s="1"/>
  <c r="D23" s="1"/>
  <c r="E17" i="4"/>
  <c r="H17"/>
  <c r="I17"/>
  <c r="J17"/>
  <c r="D17"/>
  <c r="H5"/>
  <c r="H21" s="1"/>
  <c r="H23" s="1"/>
  <c r="I5"/>
  <c r="I21" s="1"/>
  <c r="I23" s="1"/>
  <c r="J5"/>
  <c r="J21" s="1"/>
  <c r="J23" s="1"/>
  <c r="C6" i="5"/>
  <c r="C7"/>
  <c r="C9"/>
  <c r="C11"/>
  <c r="C12"/>
  <c r="C14"/>
  <c r="C16"/>
  <c r="C18"/>
  <c r="C19"/>
  <c r="C20"/>
  <c r="C28"/>
  <c r="C29"/>
  <c r="C31"/>
  <c r="C35"/>
  <c r="C36"/>
  <c r="C38"/>
  <c r="C40"/>
  <c r="C42"/>
  <c r="C46"/>
  <c r="C47"/>
  <c r="C48"/>
  <c r="C49"/>
  <c r="C88"/>
  <c r="C89"/>
  <c r="C90"/>
  <c r="C91"/>
  <c r="C92"/>
  <c r="C93"/>
  <c r="C94"/>
  <c r="C95"/>
  <c r="C96"/>
  <c r="C99"/>
  <c r="C100"/>
  <c r="C101"/>
  <c r="C102"/>
  <c r="C103"/>
  <c r="C104"/>
  <c r="C105"/>
  <c r="C106"/>
  <c r="C107"/>
  <c r="C108"/>
  <c r="C110"/>
  <c r="C111"/>
  <c r="C112"/>
  <c r="C113"/>
  <c r="C115"/>
  <c r="C116"/>
  <c r="C117"/>
  <c r="C118"/>
  <c r="C120"/>
  <c r="C203"/>
  <c r="C169" i="1"/>
  <c r="C165"/>
  <c r="C166"/>
  <c r="C167"/>
  <c r="C168"/>
  <c r="E146"/>
  <c r="E155" s="1"/>
  <c r="F146"/>
  <c r="F155" s="1"/>
  <c r="G146"/>
  <c r="G155" s="1"/>
  <c r="H146"/>
  <c r="H155" s="1"/>
  <c r="I146"/>
  <c r="I155" s="1"/>
  <c r="J146"/>
  <c r="J155" s="1"/>
  <c r="K146"/>
  <c r="K155" s="1"/>
  <c r="L146"/>
  <c r="L155" s="1"/>
  <c r="M146"/>
  <c r="M155" s="1"/>
  <c r="N146"/>
  <c r="N155" s="1"/>
  <c r="O146"/>
  <c r="O155" s="1"/>
  <c r="P146"/>
  <c r="P155" s="1"/>
  <c r="Q146"/>
  <c r="Q155" s="1"/>
  <c r="R146"/>
  <c r="R155" s="1"/>
  <c r="S146"/>
  <c r="S155" s="1"/>
  <c r="T146"/>
  <c r="T155" s="1"/>
  <c r="U146"/>
  <c r="U155" s="1"/>
  <c r="V146"/>
  <c r="V155" s="1"/>
  <c r="W146"/>
  <c r="W155" s="1"/>
  <c r="D146"/>
  <c r="D155" s="1"/>
  <c r="E230"/>
  <c r="E224"/>
  <c r="E200"/>
  <c r="E196"/>
  <c r="E190"/>
  <c r="E183"/>
  <c r="E134"/>
  <c r="E140" s="1"/>
  <c r="E125"/>
  <c r="E124"/>
  <c r="E101"/>
  <c r="E92"/>
  <c r="E87"/>
  <c r="E78"/>
  <c r="E64"/>
  <c r="E46"/>
  <c r="E36"/>
  <c r="E32"/>
  <c r="E28"/>
  <c r="E26" s="1"/>
  <c r="E17"/>
  <c r="E5"/>
  <c r="F134"/>
  <c r="G134"/>
  <c r="H134"/>
  <c r="I134"/>
  <c r="J134"/>
  <c r="K134"/>
  <c r="K140" s="1"/>
  <c r="L134"/>
  <c r="M134"/>
  <c r="M140" s="1"/>
  <c r="N134"/>
  <c r="O134"/>
  <c r="O140" s="1"/>
  <c r="P134"/>
  <c r="Q134"/>
  <c r="Q140" s="1"/>
  <c r="R134"/>
  <c r="R140" s="1"/>
  <c r="S134"/>
  <c r="S140" s="1"/>
  <c r="T134"/>
  <c r="U134"/>
  <c r="U140" s="1"/>
  <c r="V134"/>
  <c r="V140" s="1"/>
  <c r="W134"/>
  <c r="W140" s="1"/>
  <c r="D134"/>
  <c r="C7"/>
  <c r="C8"/>
  <c r="C11"/>
  <c r="C12"/>
  <c r="C13"/>
  <c r="C14"/>
  <c r="C15"/>
  <c r="C16"/>
  <c r="C19"/>
  <c r="C20"/>
  <c r="C27"/>
  <c r="C29"/>
  <c r="C31"/>
  <c r="C33"/>
  <c r="C34"/>
  <c r="C37"/>
  <c r="C38"/>
  <c r="C39"/>
  <c r="C40"/>
  <c r="C41"/>
  <c r="C42"/>
  <c r="C43"/>
  <c r="C44"/>
  <c r="C47"/>
  <c r="C51"/>
  <c r="C52"/>
  <c r="C53"/>
  <c r="C54"/>
  <c r="C56"/>
  <c r="C57"/>
  <c r="C58"/>
  <c r="C59"/>
  <c r="C60"/>
  <c r="C61"/>
  <c r="C62"/>
  <c r="C65"/>
  <c r="C66"/>
  <c r="C67"/>
  <c r="C68"/>
  <c r="C69"/>
  <c r="C70"/>
  <c r="C71"/>
  <c r="C72"/>
  <c r="C73"/>
  <c r="C74"/>
  <c r="C76"/>
  <c r="C80"/>
  <c r="C81"/>
  <c r="C82"/>
  <c r="C84"/>
  <c r="C85"/>
  <c r="C86"/>
  <c r="C88"/>
  <c r="C89"/>
  <c r="C90"/>
  <c r="C91"/>
  <c r="C93"/>
  <c r="C94"/>
  <c r="C95"/>
  <c r="C96"/>
  <c r="C97"/>
  <c r="C98"/>
  <c r="C99"/>
  <c r="C100"/>
  <c r="C104"/>
  <c r="C105"/>
  <c r="C106"/>
  <c r="C107"/>
  <c r="C108"/>
  <c r="C109"/>
  <c r="C110"/>
  <c r="C111"/>
  <c r="C112"/>
  <c r="C113"/>
  <c r="C114"/>
  <c r="C115"/>
  <c r="C116"/>
  <c r="C117"/>
  <c r="C118"/>
  <c r="C120"/>
  <c r="C121"/>
  <c r="C122"/>
  <c r="C123"/>
  <c r="C128"/>
  <c r="C129"/>
  <c r="C130"/>
  <c r="C131"/>
  <c r="C132"/>
  <c r="C133"/>
  <c r="C135"/>
  <c r="C136"/>
  <c r="C137"/>
  <c r="C138"/>
  <c r="C139"/>
  <c r="C141"/>
  <c r="C142"/>
  <c r="C143"/>
  <c r="C144"/>
  <c r="C145"/>
  <c r="C149"/>
  <c r="C150"/>
  <c r="C151"/>
  <c r="C152"/>
  <c r="C153"/>
  <c r="C154"/>
  <c r="C156"/>
  <c r="C158"/>
  <c r="C159"/>
  <c r="C160"/>
  <c r="C161"/>
  <c r="C162"/>
  <c r="C163"/>
  <c r="C164"/>
  <c r="C170"/>
  <c r="C171"/>
  <c r="C172"/>
  <c r="C174"/>
  <c r="C175"/>
  <c r="C176"/>
  <c r="C178"/>
  <c r="C180"/>
  <c r="C181"/>
  <c r="C182"/>
  <c r="C185"/>
  <c r="C186"/>
  <c r="C187"/>
  <c r="C188"/>
  <c r="C189"/>
  <c r="C191"/>
  <c r="C192"/>
  <c r="C193"/>
  <c r="C194"/>
  <c r="C195"/>
  <c r="C197"/>
  <c r="C198"/>
  <c r="C199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5"/>
  <c r="C226"/>
  <c r="C227"/>
  <c r="C228"/>
  <c r="C229"/>
  <c r="C63"/>
  <c r="W230"/>
  <c r="W224"/>
  <c r="W200"/>
  <c r="W196"/>
  <c r="W190"/>
  <c r="W183"/>
  <c r="W125"/>
  <c r="W124"/>
  <c r="W101"/>
  <c r="W92"/>
  <c r="W87"/>
  <c r="W78"/>
  <c r="W64"/>
  <c r="W46"/>
  <c r="W36"/>
  <c r="W32"/>
  <c r="W28"/>
  <c r="W26" s="1"/>
  <c r="W17"/>
  <c r="W5"/>
  <c r="V230"/>
  <c r="V224"/>
  <c r="V200"/>
  <c r="V196"/>
  <c r="V190"/>
  <c r="V183"/>
  <c r="V125"/>
  <c r="V124"/>
  <c r="V101"/>
  <c r="V92"/>
  <c r="V87"/>
  <c r="V78"/>
  <c r="V64"/>
  <c r="V46"/>
  <c r="V36"/>
  <c r="V32"/>
  <c r="V28"/>
  <c r="V26" s="1"/>
  <c r="V17"/>
  <c r="V5"/>
  <c r="L28"/>
  <c r="L26" s="1"/>
  <c r="C10"/>
  <c r="C9"/>
  <c r="C18"/>
  <c r="U230"/>
  <c r="T230"/>
  <c r="S230"/>
  <c r="R230"/>
  <c r="Q230"/>
  <c r="P230"/>
  <c r="O230"/>
  <c r="N230"/>
  <c r="M230"/>
  <c r="L230"/>
  <c r="K230"/>
  <c r="U224"/>
  <c r="T224"/>
  <c r="S224"/>
  <c r="R224"/>
  <c r="Q224"/>
  <c r="P224"/>
  <c r="O224"/>
  <c r="N224"/>
  <c r="M224"/>
  <c r="L224"/>
  <c r="K224"/>
  <c r="U200"/>
  <c r="T200"/>
  <c r="S200"/>
  <c r="R200"/>
  <c r="Q200"/>
  <c r="P200"/>
  <c r="O200"/>
  <c r="N200"/>
  <c r="M200"/>
  <c r="L200"/>
  <c r="K200"/>
  <c r="U196"/>
  <c r="T196"/>
  <c r="S196"/>
  <c r="R196"/>
  <c r="Q196"/>
  <c r="P196"/>
  <c r="O196"/>
  <c r="N196"/>
  <c r="M196"/>
  <c r="L196"/>
  <c r="K196"/>
  <c r="U190"/>
  <c r="T190"/>
  <c r="S190"/>
  <c r="R190"/>
  <c r="Q190"/>
  <c r="P190"/>
  <c r="O190"/>
  <c r="N190"/>
  <c r="M190"/>
  <c r="L190"/>
  <c r="K190"/>
  <c r="U183"/>
  <c r="T183"/>
  <c r="S183"/>
  <c r="R183"/>
  <c r="Q183"/>
  <c r="P183"/>
  <c r="O183"/>
  <c r="N183"/>
  <c r="M183"/>
  <c r="L183"/>
  <c r="K183"/>
  <c r="T140"/>
  <c r="P140"/>
  <c r="N140"/>
  <c r="L140"/>
  <c r="U125"/>
  <c r="T125"/>
  <c r="S125"/>
  <c r="R125"/>
  <c r="Q125"/>
  <c r="P125"/>
  <c r="O125"/>
  <c r="N125"/>
  <c r="M125"/>
  <c r="L125"/>
  <c r="K125"/>
  <c r="U124"/>
  <c r="T124"/>
  <c r="S124"/>
  <c r="R124"/>
  <c r="Q124"/>
  <c r="P124"/>
  <c r="O124"/>
  <c r="N124"/>
  <c r="M124"/>
  <c r="L124"/>
  <c r="K124"/>
  <c r="U101"/>
  <c r="T101"/>
  <c r="S101"/>
  <c r="R101"/>
  <c r="Q101"/>
  <c r="P101"/>
  <c r="O101"/>
  <c r="N101"/>
  <c r="M101"/>
  <c r="L101"/>
  <c r="K101"/>
  <c r="U92"/>
  <c r="T92"/>
  <c r="S92"/>
  <c r="R92"/>
  <c r="Q92"/>
  <c r="P92"/>
  <c r="O92"/>
  <c r="N92"/>
  <c r="M92"/>
  <c r="L92"/>
  <c r="K92"/>
  <c r="U87"/>
  <c r="T87"/>
  <c r="S87"/>
  <c r="R87"/>
  <c r="Q87"/>
  <c r="P87"/>
  <c r="O87"/>
  <c r="N87"/>
  <c r="M87"/>
  <c r="L87"/>
  <c r="K87"/>
  <c r="U78"/>
  <c r="T78"/>
  <c r="S78"/>
  <c r="R78"/>
  <c r="Q78"/>
  <c r="P78"/>
  <c r="O78"/>
  <c r="N78"/>
  <c r="M78"/>
  <c r="L78"/>
  <c r="K78"/>
  <c r="U64"/>
  <c r="T64"/>
  <c r="S64"/>
  <c r="R64"/>
  <c r="Q64"/>
  <c r="P64"/>
  <c r="O64"/>
  <c r="N64"/>
  <c r="M64"/>
  <c r="L64"/>
  <c r="K64"/>
  <c r="U46"/>
  <c r="T46"/>
  <c r="S46"/>
  <c r="R46"/>
  <c r="Q46"/>
  <c r="P46"/>
  <c r="O46"/>
  <c r="N46"/>
  <c r="M46"/>
  <c r="L46"/>
  <c r="K46"/>
  <c r="U36"/>
  <c r="T36"/>
  <c r="S36"/>
  <c r="R36"/>
  <c r="Q36"/>
  <c r="P36"/>
  <c r="O36"/>
  <c r="N36"/>
  <c r="M36"/>
  <c r="L36"/>
  <c r="K36"/>
  <c r="U32"/>
  <c r="T32"/>
  <c r="S32"/>
  <c r="R32"/>
  <c r="Q32"/>
  <c r="P32"/>
  <c r="O32"/>
  <c r="N32"/>
  <c r="M32"/>
  <c r="L32"/>
  <c r="K32"/>
  <c r="U28"/>
  <c r="U26" s="1"/>
  <c r="T28"/>
  <c r="T26" s="1"/>
  <c r="S28"/>
  <c r="S26" s="1"/>
  <c r="R28"/>
  <c r="R26" s="1"/>
  <c r="Q28"/>
  <c r="Q26" s="1"/>
  <c r="P28"/>
  <c r="P26" s="1"/>
  <c r="O28"/>
  <c r="O26" s="1"/>
  <c r="N28"/>
  <c r="N26" s="1"/>
  <c r="M28"/>
  <c r="M26" s="1"/>
  <c r="K28"/>
  <c r="K26" s="1"/>
  <c r="R17"/>
  <c r="Q17"/>
  <c r="P17"/>
  <c r="O17"/>
  <c r="N17"/>
  <c r="M17"/>
  <c r="L17"/>
  <c r="K17"/>
  <c r="U5"/>
  <c r="T5"/>
  <c r="S5"/>
  <c r="R5"/>
  <c r="Q5"/>
  <c r="P5"/>
  <c r="N5"/>
  <c r="M5"/>
  <c r="L5"/>
  <c r="K5"/>
  <c r="K21" i="3" l="1"/>
  <c r="K23" s="1"/>
  <c r="E231" i="1"/>
  <c r="F253"/>
  <c r="E102"/>
  <c r="O5"/>
  <c r="O21" s="1"/>
  <c r="O23" s="1"/>
  <c r="C146"/>
  <c r="C134"/>
  <c r="W173"/>
  <c r="W179" s="1"/>
  <c r="W184" s="1"/>
  <c r="U173"/>
  <c r="U179" s="1"/>
  <c r="U184" s="1"/>
  <c r="S173"/>
  <c r="S179" s="1"/>
  <c r="S184" s="1"/>
  <c r="Q173"/>
  <c r="Q179" s="1"/>
  <c r="Q184" s="1"/>
  <c r="O173"/>
  <c r="O179" s="1"/>
  <c r="O184" s="1"/>
  <c r="M173"/>
  <c r="M179" s="1"/>
  <c r="M184" s="1"/>
  <c r="K173"/>
  <c r="K179" s="1"/>
  <c r="K184" s="1"/>
  <c r="I173"/>
  <c r="I179" s="1"/>
  <c r="G173"/>
  <c r="G179" s="1"/>
  <c r="E173"/>
  <c r="E179" s="1"/>
  <c r="E184" s="1"/>
  <c r="D35"/>
  <c r="D173"/>
  <c r="D179" s="1"/>
  <c r="V173"/>
  <c r="V179" s="1"/>
  <c r="V184" s="1"/>
  <c r="T173"/>
  <c r="T179" s="1"/>
  <c r="T184" s="1"/>
  <c r="R173"/>
  <c r="R179" s="1"/>
  <c r="R184" s="1"/>
  <c r="P173"/>
  <c r="P179" s="1"/>
  <c r="P184" s="1"/>
  <c r="N173"/>
  <c r="N179" s="1"/>
  <c r="N184" s="1"/>
  <c r="L173"/>
  <c r="L179" s="1"/>
  <c r="L184" s="1"/>
  <c r="J173"/>
  <c r="J179" s="1"/>
  <c r="H173"/>
  <c r="H179" s="1"/>
  <c r="F179"/>
  <c r="C6"/>
  <c r="C30"/>
  <c r="W231"/>
  <c r="E21"/>
  <c r="E201"/>
  <c r="E50"/>
  <c r="L21"/>
  <c r="T21"/>
  <c r="L102"/>
  <c r="T102"/>
  <c r="K201"/>
  <c r="M201"/>
  <c r="U201"/>
  <c r="L231"/>
  <c r="N231"/>
  <c r="P231"/>
  <c r="R231"/>
  <c r="T231"/>
  <c r="C75"/>
  <c r="K231"/>
  <c r="M231"/>
  <c r="O231"/>
  <c r="V231"/>
  <c r="Q231"/>
  <c r="Q21"/>
  <c r="S21"/>
  <c r="O102"/>
  <c r="Q102"/>
  <c r="S102"/>
  <c r="N201"/>
  <c r="P201"/>
  <c r="R201"/>
  <c r="S231"/>
  <c r="U231"/>
  <c r="P50"/>
  <c r="M50"/>
  <c r="V50"/>
  <c r="V102"/>
  <c r="W21"/>
  <c r="W201"/>
  <c r="K50"/>
  <c r="N50"/>
  <c r="N49" s="1"/>
  <c r="N55" s="1"/>
  <c r="R50"/>
  <c r="U50"/>
  <c r="O50"/>
  <c r="Q50"/>
  <c r="S50"/>
  <c r="W50"/>
  <c r="T50"/>
  <c r="N102"/>
  <c r="P102"/>
  <c r="P204" s="1"/>
  <c r="R102"/>
  <c r="U102"/>
  <c r="L201"/>
  <c r="K102"/>
  <c r="M102"/>
  <c r="M204" s="1"/>
  <c r="O201"/>
  <c r="Q201"/>
  <c r="S201"/>
  <c r="T201"/>
  <c r="T204" s="1"/>
  <c r="K21"/>
  <c r="M21"/>
  <c r="N21"/>
  <c r="P21"/>
  <c r="U21"/>
  <c r="U23" s="1"/>
  <c r="U22" s="1"/>
  <c r="V21"/>
  <c r="V201"/>
  <c r="W102"/>
  <c r="L50"/>
  <c r="R21"/>
  <c r="S204" l="1"/>
  <c r="T23"/>
  <c r="T22" s="1"/>
  <c r="E23"/>
  <c r="E22" s="1"/>
  <c r="C179"/>
  <c r="P23"/>
  <c r="P22" s="1"/>
  <c r="K23"/>
  <c r="K22" s="1"/>
  <c r="Q23"/>
  <c r="Q22" s="1"/>
  <c r="V23"/>
  <c r="V22" s="1"/>
  <c r="S23"/>
  <c r="S22" s="1"/>
  <c r="R23"/>
  <c r="R22" s="1"/>
  <c r="M23"/>
  <c r="M22" s="1"/>
  <c r="N23"/>
  <c r="N22" s="1"/>
  <c r="W23"/>
  <c r="W22" s="1"/>
  <c r="L23"/>
  <c r="L22" s="1"/>
  <c r="E204"/>
  <c r="Q204"/>
  <c r="O204"/>
  <c r="W49"/>
  <c r="W55" s="1"/>
  <c r="Q49"/>
  <c r="Q55" s="1"/>
  <c r="M49"/>
  <c r="M55" s="1"/>
  <c r="L49"/>
  <c r="L55" s="1"/>
  <c r="T49"/>
  <c r="T55" s="1"/>
  <c r="S49"/>
  <c r="S55" s="1"/>
  <c r="O49"/>
  <c r="O55" s="1"/>
  <c r="R49"/>
  <c r="R55" s="1"/>
  <c r="K49"/>
  <c r="K55" s="1"/>
  <c r="V49"/>
  <c r="V55" s="1"/>
  <c r="P49"/>
  <c r="P55" s="1"/>
  <c r="U49"/>
  <c r="U55" s="1"/>
  <c r="E49"/>
  <c r="E55" s="1"/>
  <c r="W204"/>
  <c r="N202"/>
  <c r="N232" s="1"/>
  <c r="M202"/>
  <c r="M232" s="1"/>
  <c r="U204"/>
  <c r="R202"/>
  <c r="R232" s="1"/>
  <c r="C83"/>
  <c r="V204"/>
  <c r="N204"/>
  <c r="U202"/>
  <c r="U232" s="1"/>
  <c r="P202"/>
  <c r="P232" s="1"/>
  <c r="O22"/>
  <c r="R204"/>
  <c r="K204"/>
  <c r="L204"/>
  <c r="K202"/>
  <c r="K232" s="1"/>
  <c r="E202"/>
  <c r="E232" s="1"/>
  <c r="W202"/>
  <c r="W232" s="1"/>
  <c r="V202"/>
  <c r="V232" s="1"/>
  <c r="L202"/>
  <c r="L232" s="1"/>
  <c r="S202"/>
  <c r="S232" s="1"/>
  <c r="O202"/>
  <c r="O232" s="1"/>
  <c r="T202"/>
  <c r="T232" s="1"/>
  <c r="Q202"/>
  <c r="Q232" s="1"/>
  <c r="N79" l="1"/>
  <c r="N203" s="1"/>
  <c r="N103"/>
  <c r="U79"/>
  <c r="U203" s="1"/>
  <c r="U103"/>
  <c r="V79"/>
  <c r="V203" s="1"/>
  <c r="V103"/>
  <c r="R79"/>
  <c r="R203" s="1"/>
  <c r="R103"/>
  <c r="S103"/>
  <c r="S126" s="1"/>
  <c r="S127" s="1"/>
  <c r="S79"/>
  <c r="S203" s="1"/>
  <c r="L79"/>
  <c r="L203" s="1"/>
  <c r="L103"/>
  <c r="L126" s="1"/>
  <c r="L127" s="1"/>
  <c r="L234" s="1"/>
  <c r="Q79"/>
  <c r="Q203" s="1"/>
  <c r="Q103"/>
  <c r="Q126" s="1"/>
  <c r="Q127" s="1"/>
  <c r="Q234" s="1"/>
  <c r="E79"/>
  <c r="E203" s="1"/>
  <c r="E103"/>
  <c r="E126" s="1"/>
  <c r="E127" s="1"/>
  <c r="E234" s="1"/>
  <c r="P79"/>
  <c r="P203" s="1"/>
  <c r="P103"/>
  <c r="K79"/>
  <c r="K203" s="1"/>
  <c r="K103"/>
  <c r="T79"/>
  <c r="T203" s="1"/>
  <c r="T103"/>
  <c r="T126" s="1"/>
  <c r="T127" s="1"/>
  <c r="T234" s="1"/>
  <c r="M79"/>
  <c r="M203" s="1"/>
  <c r="M103"/>
  <c r="W79"/>
  <c r="W203" s="1"/>
  <c r="W103"/>
  <c r="O103"/>
  <c r="O126" s="1"/>
  <c r="O127" s="1"/>
  <c r="O234" s="1"/>
  <c r="O79"/>
  <c r="O203" s="1"/>
  <c r="W126"/>
  <c r="V126"/>
  <c r="N126"/>
  <c r="U126"/>
  <c r="M126"/>
  <c r="R126"/>
  <c r="K126"/>
  <c r="P126"/>
  <c r="S234"/>
  <c r="N127" l="1"/>
  <c r="N234" s="1"/>
  <c r="K127"/>
  <c r="K234" s="1"/>
  <c r="W127"/>
  <c r="W234" s="1"/>
  <c r="M127"/>
  <c r="M234" s="1"/>
  <c r="P127"/>
  <c r="P234" s="1"/>
  <c r="R127"/>
  <c r="R234" s="1"/>
  <c r="U127"/>
  <c r="U234" s="1"/>
  <c r="V127"/>
  <c r="V234" s="1"/>
  <c r="J230"/>
  <c r="I230"/>
  <c r="H230"/>
  <c r="G230"/>
  <c r="F230"/>
  <c r="D230"/>
  <c r="J224"/>
  <c r="I224"/>
  <c r="H224"/>
  <c r="G224"/>
  <c r="F224"/>
  <c r="D224"/>
  <c r="J200"/>
  <c r="I200"/>
  <c r="H200"/>
  <c r="G200"/>
  <c r="F200"/>
  <c r="D200"/>
  <c r="J196"/>
  <c r="I196"/>
  <c r="H196"/>
  <c r="G196"/>
  <c r="F196"/>
  <c r="D196"/>
  <c r="J190"/>
  <c r="I190"/>
  <c r="H190"/>
  <c r="G190"/>
  <c r="F190"/>
  <c r="D190"/>
  <c r="J183"/>
  <c r="I183"/>
  <c r="H183"/>
  <c r="G183"/>
  <c r="F183"/>
  <c r="D183"/>
  <c r="J140"/>
  <c r="I140"/>
  <c r="H140"/>
  <c r="G140"/>
  <c r="F140"/>
  <c r="D140"/>
  <c r="J125"/>
  <c r="I125"/>
  <c r="H125"/>
  <c r="G125"/>
  <c r="F125"/>
  <c r="D125"/>
  <c r="J124"/>
  <c r="I124"/>
  <c r="H124"/>
  <c r="G124"/>
  <c r="F124"/>
  <c r="D124"/>
  <c r="J101"/>
  <c r="I101"/>
  <c r="H101"/>
  <c r="G101"/>
  <c r="F101"/>
  <c r="D101"/>
  <c r="J92"/>
  <c r="I92"/>
  <c r="H92"/>
  <c r="G92"/>
  <c r="F92"/>
  <c r="D92"/>
  <c r="J87"/>
  <c r="I87"/>
  <c r="H87"/>
  <c r="G87"/>
  <c r="F87"/>
  <c r="D87"/>
  <c r="J78"/>
  <c r="I78"/>
  <c r="H78"/>
  <c r="G78"/>
  <c r="F78"/>
  <c r="D78"/>
  <c r="J64"/>
  <c r="I64"/>
  <c r="H64"/>
  <c r="G64"/>
  <c r="F64"/>
  <c r="D64"/>
  <c r="J46"/>
  <c r="I46"/>
  <c r="H46"/>
  <c r="G46"/>
  <c r="F46"/>
  <c r="D46"/>
  <c r="J36"/>
  <c r="I36"/>
  <c r="H36"/>
  <c r="G36"/>
  <c r="F36"/>
  <c r="D36"/>
  <c r="J32"/>
  <c r="I32"/>
  <c r="H32"/>
  <c r="G32"/>
  <c r="F32"/>
  <c r="D32"/>
  <c r="J28"/>
  <c r="J26" s="1"/>
  <c r="I28"/>
  <c r="I26" s="1"/>
  <c r="F28"/>
  <c r="F26" s="1"/>
  <c r="D28"/>
  <c r="J17"/>
  <c r="I17"/>
  <c r="H17"/>
  <c r="G17"/>
  <c r="F17"/>
  <c r="D17"/>
  <c r="J5"/>
  <c r="I5"/>
  <c r="I21" s="1"/>
  <c r="I23" s="1"/>
  <c r="H5"/>
  <c r="G5"/>
  <c r="F5"/>
  <c r="D5"/>
  <c r="E157" i="3"/>
  <c r="E168" s="1"/>
  <c r="E174" s="1"/>
  <c r="F157"/>
  <c r="F168" s="1"/>
  <c r="F174" s="1"/>
  <c r="G157"/>
  <c r="G168" s="1"/>
  <c r="G174" s="1"/>
  <c r="H157"/>
  <c r="H168" s="1"/>
  <c r="H174" s="1"/>
  <c r="I157"/>
  <c r="I168" s="1"/>
  <c r="I174" s="1"/>
  <c r="J157"/>
  <c r="J168" s="1"/>
  <c r="J174" s="1"/>
  <c r="K157"/>
  <c r="K168" s="1"/>
  <c r="L157"/>
  <c r="L168" s="1"/>
  <c r="L174" s="1"/>
  <c r="M157"/>
  <c r="M174" s="1"/>
  <c r="N157"/>
  <c r="N168" s="1"/>
  <c r="N174" s="1"/>
  <c r="O157"/>
  <c r="O168" s="1"/>
  <c r="O174" s="1"/>
  <c r="O179" s="1"/>
  <c r="D157"/>
  <c r="D168" s="1"/>
  <c r="D174" s="1"/>
  <c r="C164"/>
  <c r="C163"/>
  <c r="C162"/>
  <c r="C161"/>
  <c r="C160"/>
  <c r="C159"/>
  <c r="C158"/>
  <c r="O28"/>
  <c r="N28"/>
  <c r="M28"/>
  <c r="L28"/>
  <c r="L26" s="1"/>
  <c r="K28"/>
  <c r="J28"/>
  <c r="I28"/>
  <c r="H28"/>
  <c r="G28"/>
  <c r="F28"/>
  <c r="E28"/>
  <c r="E26" s="1"/>
  <c r="D28"/>
  <c r="D26" s="1"/>
  <c r="C10"/>
  <c r="E126"/>
  <c r="F126"/>
  <c r="M126"/>
  <c r="G126"/>
  <c r="H126"/>
  <c r="I126"/>
  <c r="J126"/>
  <c r="K126"/>
  <c r="L126"/>
  <c r="N126"/>
  <c r="O126"/>
  <c r="E125"/>
  <c r="F125"/>
  <c r="M125"/>
  <c r="G125"/>
  <c r="H125"/>
  <c r="I125"/>
  <c r="J125"/>
  <c r="K125"/>
  <c r="L125"/>
  <c r="N125"/>
  <c r="O125"/>
  <c r="D126"/>
  <c r="E102"/>
  <c r="F102"/>
  <c r="M102"/>
  <c r="G102"/>
  <c r="H102"/>
  <c r="I102"/>
  <c r="J102"/>
  <c r="K102"/>
  <c r="L102"/>
  <c r="N102"/>
  <c r="O102"/>
  <c r="D102"/>
  <c r="C6"/>
  <c r="C7"/>
  <c r="C8"/>
  <c r="C9"/>
  <c r="C11"/>
  <c r="C12"/>
  <c r="C13"/>
  <c r="C14"/>
  <c r="C15"/>
  <c r="C16"/>
  <c r="C18"/>
  <c r="C19"/>
  <c r="C20"/>
  <c r="C27"/>
  <c r="C29"/>
  <c r="C30"/>
  <c r="C31"/>
  <c r="C33"/>
  <c r="C34"/>
  <c r="C37"/>
  <c r="C38"/>
  <c r="C39"/>
  <c r="C40"/>
  <c r="C41"/>
  <c r="C42"/>
  <c r="C43"/>
  <c r="C44"/>
  <c r="C45"/>
  <c r="C47"/>
  <c r="C48"/>
  <c r="C53"/>
  <c r="C54"/>
  <c r="C55"/>
  <c r="C57"/>
  <c r="C58"/>
  <c r="C59"/>
  <c r="C60"/>
  <c r="C61"/>
  <c r="C62"/>
  <c r="C63"/>
  <c r="C64"/>
  <c r="C66"/>
  <c r="C67"/>
  <c r="C68"/>
  <c r="C69"/>
  <c r="C70"/>
  <c r="C71"/>
  <c r="C72"/>
  <c r="C73"/>
  <c r="C74"/>
  <c r="C75"/>
  <c r="C76"/>
  <c r="C77"/>
  <c r="C78"/>
  <c r="C81"/>
  <c r="C82"/>
  <c r="C83"/>
  <c r="C84"/>
  <c r="C85"/>
  <c r="C86"/>
  <c r="C87"/>
  <c r="C89"/>
  <c r="C90"/>
  <c r="C91"/>
  <c r="C92"/>
  <c r="C94"/>
  <c r="C95"/>
  <c r="C96"/>
  <c r="C97"/>
  <c r="C98"/>
  <c r="C99"/>
  <c r="C100"/>
  <c r="C101"/>
  <c r="C105"/>
  <c r="C106"/>
  <c r="C107"/>
  <c r="C108"/>
  <c r="C109"/>
  <c r="C110"/>
  <c r="C111"/>
  <c r="C112"/>
  <c r="C113"/>
  <c r="C114"/>
  <c r="C115"/>
  <c r="C116"/>
  <c r="C117"/>
  <c r="C118"/>
  <c r="C119"/>
  <c r="C121"/>
  <c r="C122"/>
  <c r="C123"/>
  <c r="C124"/>
  <c r="C129"/>
  <c r="C130"/>
  <c r="C131"/>
  <c r="C132"/>
  <c r="C133"/>
  <c r="C134"/>
  <c r="C135"/>
  <c r="C136"/>
  <c r="C137"/>
  <c r="C138"/>
  <c r="C139"/>
  <c r="C140"/>
  <c r="C142"/>
  <c r="C143"/>
  <c r="C144"/>
  <c r="C145"/>
  <c r="C146"/>
  <c r="C147"/>
  <c r="C148"/>
  <c r="C149"/>
  <c r="C150"/>
  <c r="C151"/>
  <c r="C152"/>
  <c r="C153"/>
  <c r="C154"/>
  <c r="C156"/>
  <c r="C165"/>
  <c r="C166"/>
  <c r="C167"/>
  <c r="C169"/>
  <c r="C170"/>
  <c r="C171"/>
  <c r="C173"/>
  <c r="C175"/>
  <c r="C176"/>
  <c r="C177"/>
  <c r="C180"/>
  <c r="C181"/>
  <c r="C182"/>
  <c r="C183"/>
  <c r="C184"/>
  <c r="C186"/>
  <c r="C187"/>
  <c r="C188"/>
  <c r="C189"/>
  <c r="C190"/>
  <c r="C192"/>
  <c r="C193"/>
  <c r="C194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20"/>
  <c r="C221"/>
  <c r="C222"/>
  <c r="C223"/>
  <c r="C224"/>
  <c r="L22"/>
  <c r="I24"/>
  <c r="I22" s="1"/>
  <c r="K24"/>
  <c r="K22" s="1"/>
  <c r="N24"/>
  <c r="N22" s="1"/>
  <c r="O24"/>
  <c r="O22" s="1"/>
  <c r="I26"/>
  <c r="J26"/>
  <c r="K26"/>
  <c r="N26"/>
  <c r="O26"/>
  <c r="I32"/>
  <c r="J32"/>
  <c r="K32"/>
  <c r="L32"/>
  <c r="N32"/>
  <c r="O32"/>
  <c r="I46"/>
  <c r="J46"/>
  <c r="K46"/>
  <c r="L46"/>
  <c r="N46"/>
  <c r="O46"/>
  <c r="I65"/>
  <c r="J65"/>
  <c r="K65"/>
  <c r="L65"/>
  <c r="N65"/>
  <c r="O65"/>
  <c r="I79"/>
  <c r="J79"/>
  <c r="K79"/>
  <c r="L79"/>
  <c r="N79"/>
  <c r="O79"/>
  <c r="I88"/>
  <c r="J88"/>
  <c r="K88"/>
  <c r="L88"/>
  <c r="N88"/>
  <c r="O88"/>
  <c r="I93"/>
  <c r="J93"/>
  <c r="K93"/>
  <c r="L93"/>
  <c r="N93"/>
  <c r="O93"/>
  <c r="I103"/>
  <c r="K103"/>
  <c r="N103"/>
  <c r="I141"/>
  <c r="J141"/>
  <c r="K141"/>
  <c r="L141"/>
  <c r="N141"/>
  <c r="O141"/>
  <c r="I155"/>
  <c r="J155"/>
  <c r="K155"/>
  <c r="L155"/>
  <c r="N155"/>
  <c r="O155"/>
  <c r="I178"/>
  <c r="J178"/>
  <c r="K178"/>
  <c r="L178"/>
  <c r="N178"/>
  <c r="O178"/>
  <c r="I185"/>
  <c r="J185"/>
  <c r="K185"/>
  <c r="L185"/>
  <c r="N185"/>
  <c r="O185"/>
  <c r="I191"/>
  <c r="J191"/>
  <c r="K191"/>
  <c r="L191"/>
  <c r="N191"/>
  <c r="O191"/>
  <c r="I195"/>
  <c r="J195"/>
  <c r="K195"/>
  <c r="L195"/>
  <c r="N195"/>
  <c r="O195"/>
  <c r="I196"/>
  <c r="J196"/>
  <c r="K196"/>
  <c r="L196"/>
  <c r="N196"/>
  <c r="O196"/>
  <c r="I199"/>
  <c r="N199"/>
  <c r="I219"/>
  <c r="J219"/>
  <c r="K219"/>
  <c r="L219"/>
  <c r="N219"/>
  <c r="O219"/>
  <c r="I225"/>
  <c r="J225"/>
  <c r="K225"/>
  <c r="L225"/>
  <c r="N225"/>
  <c r="O225"/>
  <c r="I226"/>
  <c r="J226"/>
  <c r="K226"/>
  <c r="L226"/>
  <c r="N226"/>
  <c r="O226"/>
  <c r="H225"/>
  <c r="G225"/>
  <c r="M225"/>
  <c r="F225"/>
  <c r="E225"/>
  <c r="D225"/>
  <c r="H219"/>
  <c r="H226" s="1"/>
  <c r="G219"/>
  <c r="G226" s="1"/>
  <c r="M219"/>
  <c r="M226" s="1"/>
  <c r="F219"/>
  <c r="F226" s="1"/>
  <c r="E219"/>
  <c r="E226" s="1"/>
  <c r="D219"/>
  <c r="D226" s="1"/>
  <c r="E212" i="4"/>
  <c r="H212"/>
  <c r="I212"/>
  <c r="J212"/>
  <c r="D212"/>
  <c r="E218"/>
  <c r="H218"/>
  <c r="I218"/>
  <c r="J218"/>
  <c r="D218"/>
  <c r="C6"/>
  <c r="C8"/>
  <c r="C9"/>
  <c r="C11"/>
  <c r="C12"/>
  <c r="C14"/>
  <c r="C15"/>
  <c r="C16"/>
  <c r="C18"/>
  <c r="C19"/>
  <c r="C20"/>
  <c r="C30"/>
  <c r="C31"/>
  <c r="C33"/>
  <c r="C34"/>
  <c r="C37"/>
  <c r="C38"/>
  <c r="C39"/>
  <c r="C40"/>
  <c r="C41"/>
  <c r="C42"/>
  <c r="C43"/>
  <c r="C44"/>
  <c r="C45"/>
  <c r="C47"/>
  <c r="C48"/>
  <c r="C53"/>
  <c r="C54"/>
  <c r="C55"/>
  <c r="C57"/>
  <c r="C58"/>
  <c r="C59"/>
  <c r="C60"/>
  <c r="C61"/>
  <c r="C62"/>
  <c r="C63"/>
  <c r="C64"/>
  <c r="C66"/>
  <c r="C67"/>
  <c r="C68"/>
  <c r="C69"/>
  <c r="C70"/>
  <c r="C71"/>
  <c r="C72"/>
  <c r="C73"/>
  <c r="C74"/>
  <c r="C75"/>
  <c r="C76"/>
  <c r="C77"/>
  <c r="C78"/>
  <c r="C81"/>
  <c r="C82"/>
  <c r="C83"/>
  <c r="C84"/>
  <c r="C85"/>
  <c r="C86"/>
  <c r="C87"/>
  <c r="C89"/>
  <c r="C90"/>
  <c r="C91"/>
  <c r="C92"/>
  <c r="C94"/>
  <c r="C95"/>
  <c r="C96"/>
  <c r="C97"/>
  <c r="C98"/>
  <c r="C99"/>
  <c r="C100"/>
  <c r="C101"/>
  <c r="C102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6"/>
  <c r="C129"/>
  <c r="C130"/>
  <c r="C131"/>
  <c r="C132"/>
  <c r="C133"/>
  <c r="C134"/>
  <c r="C135"/>
  <c r="C136"/>
  <c r="C137"/>
  <c r="C138"/>
  <c r="C139"/>
  <c r="C140"/>
  <c r="C142"/>
  <c r="C143"/>
  <c r="C144"/>
  <c r="C145"/>
  <c r="C146"/>
  <c r="C147"/>
  <c r="C148"/>
  <c r="C149"/>
  <c r="C150"/>
  <c r="C151"/>
  <c r="C152"/>
  <c r="C153"/>
  <c r="C154"/>
  <c r="C156"/>
  <c r="C157"/>
  <c r="C158"/>
  <c r="C159"/>
  <c r="C162"/>
  <c r="C163"/>
  <c r="C164"/>
  <c r="C166"/>
  <c r="C168"/>
  <c r="C169"/>
  <c r="C170"/>
  <c r="C173"/>
  <c r="C174"/>
  <c r="C175"/>
  <c r="C176"/>
  <c r="C177"/>
  <c r="C179"/>
  <c r="C180"/>
  <c r="C181"/>
  <c r="C182"/>
  <c r="C183"/>
  <c r="C185"/>
  <c r="C186"/>
  <c r="C187"/>
  <c r="C209"/>
  <c r="H195" i="3"/>
  <c r="G195"/>
  <c r="M195"/>
  <c r="F195"/>
  <c r="E195"/>
  <c r="D195"/>
  <c r="H191"/>
  <c r="G191"/>
  <c r="M191"/>
  <c r="F191"/>
  <c r="E191"/>
  <c r="D191"/>
  <c r="H185"/>
  <c r="H196" s="1"/>
  <c r="G185"/>
  <c r="G196" s="1"/>
  <c r="M185"/>
  <c r="M196" s="1"/>
  <c r="F185"/>
  <c r="E185"/>
  <c r="E196" s="1"/>
  <c r="D185"/>
  <c r="D196" s="1"/>
  <c r="H178"/>
  <c r="G178"/>
  <c r="M178"/>
  <c r="F178"/>
  <c r="E178"/>
  <c r="D178"/>
  <c r="H155"/>
  <c r="G155"/>
  <c r="M155"/>
  <c r="F155"/>
  <c r="E155"/>
  <c r="D155"/>
  <c r="H141"/>
  <c r="G141"/>
  <c r="M141"/>
  <c r="F141"/>
  <c r="E141"/>
  <c r="D141"/>
  <c r="D125"/>
  <c r="H93"/>
  <c r="G93"/>
  <c r="M93"/>
  <c r="F93"/>
  <c r="E93"/>
  <c r="D93"/>
  <c r="H88"/>
  <c r="G88"/>
  <c r="G103" s="1"/>
  <c r="M88"/>
  <c r="F88"/>
  <c r="F103" s="1"/>
  <c r="E88"/>
  <c r="D88"/>
  <c r="D103" s="1"/>
  <c r="H79"/>
  <c r="G79"/>
  <c r="M79"/>
  <c r="F79"/>
  <c r="E79"/>
  <c r="D79"/>
  <c r="H65"/>
  <c r="G65"/>
  <c r="M65"/>
  <c r="F65"/>
  <c r="E65"/>
  <c r="D65"/>
  <c r="H46"/>
  <c r="G46"/>
  <c r="M46"/>
  <c r="F46"/>
  <c r="E46"/>
  <c r="D46"/>
  <c r="D36"/>
  <c r="H32"/>
  <c r="G32"/>
  <c r="M32"/>
  <c r="F32"/>
  <c r="E32"/>
  <c r="D32"/>
  <c r="D50" s="1"/>
  <c r="D49" s="1"/>
  <c r="H26"/>
  <c r="G26"/>
  <c r="M26"/>
  <c r="F26"/>
  <c r="H24"/>
  <c r="G24"/>
  <c r="C17"/>
  <c r="F24"/>
  <c r="D24"/>
  <c r="H52" i="4"/>
  <c r="J161"/>
  <c r="D161"/>
  <c r="D52" s="1"/>
  <c r="E36"/>
  <c r="H36"/>
  <c r="I36"/>
  <c r="J36"/>
  <c r="D36"/>
  <c r="D35" s="1"/>
  <c r="H28"/>
  <c r="J28"/>
  <c r="D28"/>
  <c r="I28"/>
  <c r="I26" s="1"/>
  <c r="I188"/>
  <c r="I178"/>
  <c r="I171"/>
  <c r="I167"/>
  <c r="I155"/>
  <c r="I125"/>
  <c r="I127" s="1"/>
  <c r="I46"/>
  <c r="I32"/>
  <c r="I24"/>
  <c r="E28"/>
  <c r="E26" s="1"/>
  <c r="C13"/>
  <c r="C10"/>
  <c r="D212" i="5"/>
  <c r="D211"/>
  <c r="D210"/>
  <c r="D209"/>
  <c r="D208"/>
  <c r="D207"/>
  <c r="D205"/>
  <c r="D204"/>
  <c r="D202"/>
  <c r="D201"/>
  <c r="D199"/>
  <c r="D198"/>
  <c r="D196"/>
  <c r="C196" s="1"/>
  <c r="D195"/>
  <c r="D194"/>
  <c r="D193"/>
  <c r="D192"/>
  <c r="D191"/>
  <c r="D190"/>
  <c r="D189"/>
  <c r="D188"/>
  <c r="D187"/>
  <c r="D181"/>
  <c r="D180"/>
  <c r="D179"/>
  <c r="D177"/>
  <c r="D176"/>
  <c r="D175"/>
  <c r="D174"/>
  <c r="D173"/>
  <c r="D171"/>
  <c r="D170"/>
  <c r="D169"/>
  <c r="D168"/>
  <c r="D167"/>
  <c r="D164"/>
  <c r="D163"/>
  <c r="D162"/>
  <c r="D159"/>
  <c r="D158"/>
  <c r="D157"/>
  <c r="D156"/>
  <c r="D155"/>
  <c r="D154"/>
  <c r="D153"/>
  <c r="D152"/>
  <c r="D150"/>
  <c r="D144"/>
  <c r="D143"/>
  <c r="D140"/>
  <c r="D139"/>
  <c r="D138"/>
  <c r="D137"/>
  <c r="D136"/>
  <c r="D133"/>
  <c r="D132"/>
  <c r="D131"/>
  <c r="D130"/>
  <c r="D119"/>
  <c r="D114"/>
  <c r="D84"/>
  <c r="D83"/>
  <c r="D80"/>
  <c r="D79"/>
  <c r="D76"/>
  <c r="D71"/>
  <c r="D69"/>
  <c r="D68"/>
  <c r="D67"/>
  <c r="D66"/>
  <c r="D64"/>
  <c r="D63"/>
  <c r="D62"/>
  <c r="D61"/>
  <c r="D60"/>
  <c r="D56"/>
  <c r="D55"/>
  <c r="D54"/>
  <c r="D53"/>
  <c r="D52"/>
  <c r="D51"/>
  <c r="D41"/>
  <c r="D33"/>
  <c r="C32"/>
  <c r="D30"/>
  <c r="D26"/>
  <c r="C15"/>
  <c r="D13"/>
  <c r="C13" s="1"/>
  <c r="H125" i="4"/>
  <c r="H127" s="1"/>
  <c r="H46"/>
  <c r="H32"/>
  <c r="H26"/>
  <c r="J24"/>
  <c r="J125"/>
  <c r="J127" s="1"/>
  <c r="J46"/>
  <c r="J32"/>
  <c r="J26"/>
  <c r="E125"/>
  <c r="E127" s="1"/>
  <c r="E46"/>
  <c r="E32"/>
  <c r="C218"/>
  <c r="C217"/>
  <c r="C216"/>
  <c r="C215"/>
  <c r="C214"/>
  <c r="C213"/>
  <c r="C211"/>
  <c r="C210"/>
  <c r="C208"/>
  <c r="C207"/>
  <c r="C206"/>
  <c r="C205"/>
  <c r="C204"/>
  <c r="C203"/>
  <c r="C202"/>
  <c r="C201"/>
  <c r="C200"/>
  <c r="C199"/>
  <c r="C198"/>
  <c r="C197"/>
  <c r="C196"/>
  <c r="C195"/>
  <c r="C194"/>
  <c r="C193"/>
  <c r="D125"/>
  <c r="C125" s="1"/>
  <c r="C17"/>
  <c r="E24" i="5"/>
  <c r="E25"/>
  <c r="F196" i="3" l="1"/>
  <c r="N179"/>
  <c r="N197" s="1"/>
  <c r="N227" s="1"/>
  <c r="J179"/>
  <c r="J197" s="1"/>
  <c r="J227" s="1"/>
  <c r="K199"/>
  <c r="O197"/>
  <c r="O227" s="1"/>
  <c r="L179"/>
  <c r="L197" s="1"/>
  <c r="L227" s="1"/>
  <c r="J219" i="4"/>
  <c r="D161" i="5"/>
  <c r="K174" i="3"/>
  <c r="K179" s="1"/>
  <c r="K197" s="1"/>
  <c r="K227" s="1"/>
  <c r="C157"/>
  <c r="C7" i="4"/>
  <c r="D5"/>
  <c r="D21" s="1"/>
  <c r="D23" s="1"/>
  <c r="E5"/>
  <c r="E21" s="1"/>
  <c r="E23" s="1"/>
  <c r="C28"/>
  <c r="D26"/>
  <c r="J22"/>
  <c r="C25"/>
  <c r="C160"/>
  <c r="C24"/>
  <c r="D45" i="5"/>
  <c r="C25"/>
  <c r="D5"/>
  <c r="D21" s="1"/>
  <c r="D23" s="1"/>
  <c r="C10"/>
  <c r="D121"/>
  <c r="D87"/>
  <c r="D135"/>
  <c r="D149"/>
  <c r="D178"/>
  <c r="D206"/>
  <c r="D213" s="1"/>
  <c r="D59"/>
  <c r="D73"/>
  <c r="D82"/>
  <c r="H201" i="1"/>
  <c r="F231"/>
  <c r="I102"/>
  <c r="I231"/>
  <c r="C28" i="3"/>
  <c r="F201" i="1"/>
  <c r="J201"/>
  <c r="H231"/>
  <c r="G102"/>
  <c r="G231"/>
  <c r="F50" i="3"/>
  <c r="F49" s="1"/>
  <c r="F56" s="1"/>
  <c r="E50"/>
  <c r="M51"/>
  <c r="M52" s="1"/>
  <c r="O51"/>
  <c r="O50"/>
  <c r="L51"/>
  <c r="L52" s="1"/>
  <c r="J50"/>
  <c r="J49" s="1"/>
  <c r="J56" s="1"/>
  <c r="G50"/>
  <c r="N50"/>
  <c r="K51"/>
  <c r="I50"/>
  <c r="I49" s="1"/>
  <c r="I56" s="1"/>
  <c r="C161" i="4"/>
  <c r="C28" i="1"/>
  <c r="C32"/>
  <c r="C35"/>
  <c r="C36"/>
  <c r="C46"/>
  <c r="C64"/>
  <c r="C78"/>
  <c r="C87"/>
  <c r="C92"/>
  <c r="C101"/>
  <c r="C124"/>
  <c r="C125"/>
  <c r="C140"/>
  <c r="C155"/>
  <c r="C183"/>
  <c r="C190"/>
  <c r="C196"/>
  <c r="C200"/>
  <c r="C224"/>
  <c r="C230"/>
  <c r="C157"/>
  <c r="C5"/>
  <c r="C17"/>
  <c r="F21"/>
  <c r="H21"/>
  <c r="H23" s="1"/>
  <c r="J21"/>
  <c r="F102"/>
  <c r="H102"/>
  <c r="J102"/>
  <c r="G201"/>
  <c r="I201"/>
  <c r="J231"/>
  <c r="H50"/>
  <c r="J50"/>
  <c r="J49" s="1"/>
  <c r="J55" s="1"/>
  <c r="F50"/>
  <c r="G50"/>
  <c r="I50"/>
  <c r="I49" s="1"/>
  <c r="I55" s="1"/>
  <c r="D102"/>
  <c r="D201"/>
  <c r="D231"/>
  <c r="J22" i="3"/>
  <c r="D26" i="1"/>
  <c r="G21"/>
  <c r="G23" s="1"/>
  <c r="H50" i="3"/>
  <c r="H49" s="1"/>
  <c r="I22" i="1"/>
  <c r="D21"/>
  <c r="D23" s="1"/>
  <c r="C24"/>
  <c r="C25"/>
  <c r="F184"/>
  <c r="G184"/>
  <c r="I184"/>
  <c r="H184"/>
  <c r="J184"/>
  <c r="C26" i="3"/>
  <c r="I179"/>
  <c r="I197" s="1"/>
  <c r="I227" s="1"/>
  <c r="C46"/>
  <c r="C79"/>
  <c r="C93"/>
  <c r="C178"/>
  <c r="C196"/>
  <c r="C191"/>
  <c r="C195"/>
  <c r="O103"/>
  <c r="O199" s="1"/>
  <c r="L103"/>
  <c r="L199" s="1"/>
  <c r="J103"/>
  <c r="J199" s="1"/>
  <c r="H179"/>
  <c r="H197" s="1"/>
  <c r="H227" s="1"/>
  <c r="C65"/>
  <c r="F22"/>
  <c r="E103"/>
  <c r="M103"/>
  <c r="M199" s="1"/>
  <c r="H103"/>
  <c r="D179"/>
  <c r="D197" s="1"/>
  <c r="D227" s="1"/>
  <c r="C226"/>
  <c r="C225"/>
  <c r="C126"/>
  <c r="C155"/>
  <c r="C32"/>
  <c r="C36"/>
  <c r="C185"/>
  <c r="C168"/>
  <c r="C141"/>
  <c r="C102"/>
  <c r="C5"/>
  <c r="C219"/>
  <c r="C125"/>
  <c r="C88"/>
  <c r="C35"/>
  <c r="C29" i="4"/>
  <c r="C27"/>
  <c r="I219"/>
  <c r="C36"/>
  <c r="E22" i="3"/>
  <c r="M22"/>
  <c r="H22"/>
  <c r="D56"/>
  <c r="D199"/>
  <c r="M179"/>
  <c r="F199"/>
  <c r="G199"/>
  <c r="D22"/>
  <c r="G22"/>
  <c r="E199"/>
  <c r="H199"/>
  <c r="E24"/>
  <c r="C24" s="1"/>
  <c r="G179"/>
  <c r="I35" i="4"/>
  <c r="I65"/>
  <c r="I93"/>
  <c r="I79"/>
  <c r="I88"/>
  <c r="I141"/>
  <c r="I172" s="1"/>
  <c r="I184"/>
  <c r="I189"/>
  <c r="I22"/>
  <c r="I103"/>
  <c r="I192" s="1"/>
  <c r="J167"/>
  <c r="J184"/>
  <c r="H167"/>
  <c r="H184"/>
  <c r="H219"/>
  <c r="E35"/>
  <c r="E51" s="1"/>
  <c r="J35"/>
  <c r="J51" s="1"/>
  <c r="H35"/>
  <c r="H50" s="1"/>
  <c r="H49" s="1"/>
  <c r="D88"/>
  <c r="C212"/>
  <c r="E65"/>
  <c r="E79"/>
  <c r="E93"/>
  <c r="E141"/>
  <c r="E155"/>
  <c r="E171"/>
  <c r="E178"/>
  <c r="E188"/>
  <c r="J65"/>
  <c r="J79"/>
  <c r="J88"/>
  <c r="J93"/>
  <c r="H65"/>
  <c r="H79"/>
  <c r="H88"/>
  <c r="H93"/>
  <c r="H141"/>
  <c r="H155"/>
  <c r="H171"/>
  <c r="H178"/>
  <c r="H188"/>
  <c r="D97" i="5"/>
  <c r="C24"/>
  <c r="D165"/>
  <c r="D172"/>
  <c r="D182"/>
  <c r="H22" i="4"/>
  <c r="D46"/>
  <c r="C46" s="1"/>
  <c r="D65"/>
  <c r="D79"/>
  <c r="D93"/>
  <c r="E88"/>
  <c r="E103" s="1"/>
  <c r="E167"/>
  <c r="E184"/>
  <c r="E219"/>
  <c r="J141"/>
  <c r="J155"/>
  <c r="J171"/>
  <c r="J178"/>
  <c r="J188"/>
  <c r="J50"/>
  <c r="D219"/>
  <c r="D141"/>
  <c r="D155"/>
  <c r="D167"/>
  <c r="D171"/>
  <c r="D178"/>
  <c r="D184"/>
  <c r="D188"/>
  <c r="D32"/>
  <c r="C32" s="1"/>
  <c r="H204" i="1" l="1"/>
  <c r="G204"/>
  <c r="E172" i="4"/>
  <c r="F22" i="1"/>
  <c r="F23"/>
  <c r="C178" i="4"/>
  <c r="J23" i="1"/>
  <c r="J22" s="1"/>
  <c r="G49" i="3"/>
  <c r="G56" s="1"/>
  <c r="D80"/>
  <c r="O49"/>
  <c r="O56" s="1"/>
  <c r="O80" s="1"/>
  <c r="O198" s="1"/>
  <c r="N49"/>
  <c r="N56" s="1"/>
  <c r="K52"/>
  <c r="K49" s="1"/>
  <c r="K56" s="1"/>
  <c r="E50" i="4"/>
  <c r="D50"/>
  <c r="D49" s="1"/>
  <c r="D56" s="1"/>
  <c r="J49"/>
  <c r="J56" s="1"/>
  <c r="J80" s="1"/>
  <c r="C188"/>
  <c r="J189"/>
  <c r="C93"/>
  <c r="E49"/>
  <c r="E56" s="1"/>
  <c r="D183" i="5"/>
  <c r="D186" s="1"/>
  <c r="F80" i="3"/>
  <c r="I204" i="1"/>
  <c r="J204"/>
  <c r="H49"/>
  <c r="H55" s="1"/>
  <c r="G49"/>
  <c r="G55" s="1"/>
  <c r="D204"/>
  <c r="F49"/>
  <c r="F55" s="1"/>
  <c r="M49" i="3"/>
  <c r="M56" s="1"/>
  <c r="M80" s="1"/>
  <c r="M198" s="1"/>
  <c r="E49"/>
  <c r="E56" s="1"/>
  <c r="E80" s="1"/>
  <c r="L49"/>
  <c r="L56" s="1"/>
  <c r="I104"/>
  <c r="I127" s="1"/>
  <c r="I80"/>
  <c r="I198" s="1"/>
  <c r="J80"/>
  <c r="J198" s="1"/>
  <c r="C5" i="4"/>
  <c r="I51"/>
  <c r="C184"/>
  <c r="C171"/>
  <c r="C79"/>
  <c r="C141"/>
  <c r="D172"/>
  <c r="D166" i="5"/>
  <c r="F204" i="1"/>
  <c r="C231"/>
  <c r="D44" i="5"/>
  <c r="C51" i="3"/>
  <c r="C167" i="4"/>
  <c r="C21" i="1"/>
  <c r="C102"/>
  <c r="D50"/>
  <c r="C26"/>
  <c r="C173"/>
  <c r="C201"/>
  <c r="I103"/>
  <c r="H202"/>
  <c r="H232" s="1"/>
  <c r="I126"/>
  <c r="I202"/>
  <c r="I232" s="1"/>
  <c r="F202"/>
  <c r="F232" s="1"/>
  <c r="G202"/>
  <c r="G232" s="1"/>
  <c r="J202"/>
  <c r="J232" s="1"/>
  <c r="I79"/>
  <c r="I203" s="1"/>
  <c r="G22"/>
  <c r="H22"/>
  <c r="C23"/>
  <c r="C103" i="3"/>
  <c r="C21"/>
  <c r="C25"/>
  <c r="C23"/>
  <c r="H56"/>
  <c r="I128"/>
  <c r="I229" s="1"/>
  <c r="C199"/>
  <c r="E179"/>
  <c r="E197" s="1"/>
  <c r="C174"/>
  <c r="J104"/>
  <c r="C219" i="4"/>
  <c r="C21"/>
  <c r="C26"/>
  <c r="C155"/>
  <c r="C65"/>
  <c r="C35"/>
  <c r="D103"/>
  <c r="C88"/>
  <c r="G197" i="3"/>
  <c r="F179"/>
  <c r="M197"/>
  <c r="E189" i="4"/>
  <c r="E192" s="1"/>
  <c r="H189"/>
  <c r="I190"/>
  <c r="I220" s="1"/>
  <c r="H172"/>
  <c r="J172"/>
  <c r="J190" s="1"/>
  <c r="J220" s="1"/>
  <c r="H103"/>
  <c r="J103"/>
  <c r="J192" s="1"/>
  <c r="D127"/>
  <c r="C127" s="1"/>
  <c r="D189"/>
  <c r="J103" i="1" l="1"/>
  <c r="J126" s="1"/>
  <c r="J127" s="1"/>
  <c r="J79"/>
  <c r="J203" s="1"/>
  <c r="D184" i="5"/>
  <c r="I52" i="4"/>
  <c r="I49" s="1"/>
  <c r="F103" i="1"/>
  <c r="F126" s="1"/>
  <c r="F127" s="1"/>
  <c r="G104" i="3"/>
  <c r="G127" s="1"/>
  <c r="G128" s="1"/>
  <c r="G80"/>
  <c r="G198" s="1"/>
  <c r="O104"/>
  <c r="N80"/>
  <c r="N198" s="1"/>
  <c r="N104"/>
  <c r="N127" s="1"/>
  <c r="N128" s="1"/>
  <c r="N229" s="1"/>
  <c r="K80"/>
  <c r="K198" s="1"/>
  <c r="K104"/>
  <c r="K127" s="1"/>
  <c r="K128" s="1"/>
  <c r="K229" s="1"/>
  <c r="C52"/>
  <c r="C56"/>
  <c r="D22" i="5"/>
  <c r="C204" i="1"/>
  <c r="F79"/>
  <c r="F203" s="1"/>
  <c r="M104" i="3"/>
  <c r="C172" i="4"/>
  <c r="L80" i="3"/>
  <c r="L198" s="1"/>
  <c r="L104"/>
  <c r="L127" s="1"/>
  <c r="L128" s="1"/>
  <c r="L229" s="1"/>
  <c r="H80"/>
  <c r="H198" s="1"/>
  <c r="C51" i="4"/>
  <c r="E190"/>
  <c r="E220" s="1"/>
  <c r="D214" i="5"/>
  <c r="E22" i="4"/>
  <c r="E80" s="1"/>
  <c r="E191" s="1"/>
  <c r="I127" i="1"/>
  <c r="I234" s="1"/>
  <c r="D50" i="5"/>
  <c r="J104" i="4"/>
  <c r="J128" s="1"/>
  <c r="J222" s="1"/>
  <c r="D49" i="1"/>
  <c r="D55" s="1"/>
  <c r="C50"/>
  <c r="D184"/>
  <c r="C184" s="1"/>
  <c r="D22"/>
  <c r="H79"/>
  <c r="H203" s="1"/>
  <c r="H103"/>
  <c r="J234"/>
  <c r="F234"/>
  <c r="G79"/>
  <c r="G203" s="1"/>
  <c r="G103"/>
  <c r="H104" i="3"/>
  <c r="H127" s="1"/>
  <c r="H128" s="1"/>
  <c r="H229" s="1"/>
  <c r="C49"/>
  <c r="O127"/>
  <c r="O128" s="1"/>
  <c r="O229" s="1"/>
  <c r="J127"/>
  <c r="J128" s="1"/>
  <c r="J229" s="1"/>
  <c r="M127"/>
  <c r="C22"/>
  <c r="E227"/>
  <c r="M227"/>
  <c r="G227"/>
  <c r="G229" s="1"/>
  <c r="C179"/>
  <c r="C50" i="4"/>
  <c r="D22"/>
  <c r="C23"/>
  <c r="C103"/>
  <c r="C189"/>
  <c r="H192"/>
  <c r="D104" i="3"/>
  <c r="F198"/>
  <c r="F104"/>
  <c r="F197"/>
  <c r="F227" s="1"/>
  <c r="E104"/>
  <c r="E198"/>
  <c r="H56" i="4"/>
  <c r="H190"/>
  <c r="H220" s="1"/>
  <c r="J191"/>
  <c r="D190"/>
  <c r="D192"/>
  <c r="C192" l="1"/>
  <c r="M128" i="3"/>
  <c r="C190" i="4"/>
  <c r="D80"/>
  <c r="C52"/>
  <c r="I56"/>
  <c r="C56" s="1"/>
  <c r="E104"/>
  <c r="E128" s="1"/>
  <c r="E222" s="1"/>
  <c r="C22" i="1"/>
  <c r="D103"/>
  <c r="D74" i="5"/>
  <c r="D98"/>
  <c r="H80" i="4"/>
  <c r="H191" s="1"/>
  <c r="H104"/>
  <c r="H128" s="1"/>
  <c r="H222" s="1"/>
  <c r="M229" i="3"/>
  <c r="C49" i="1"/>
  <c r="C55"/>
  <c r="G126"/>
  <c r="G127" s="1"/>
  <c r="G234" s="1"/>
  <c r="H126"/>
  <c r="H127" s="1"/>
  <c r="H234" s="1"/>
  <c r="D202"/>
  <c r="C202" s="1"/>
  <c r="E127" i="3"/>
  <c r="E128" s="1"/>
  <c r="E229" s="1"/>
  <c r="F127"/>
  <c r="F128" s="1"/>
  <c r="F229" s="1"/>
  <c r="D127"/>
  <c r="C80"/>
  <c r="C104"/>
  <c r="C227"/>
  <c r="F3" i="2" s="1"/>
  <c r="C197" i="3"/>
  <c r="C22" i="4"/>
  <c r="C49"/>
  <c r="D198" i="3"/>
  <c r="C198" s="1"/>
  <c r="D128"/>
  <c r="D220" i="4"/>
  <c r="C220" s="1"/>
  <c r="E3" i="2" s="1"/>
  <c r="I104" i="4" l="1"/>
  <c r="I128" s="1"/>
  <c r="I222" s="1"/>
  <c r="I80"/>
  <c r="I191" s="1"/>
  <c r="D185" i="5"/>
  <c r="D122"/>
  <c r="C103" i="1"/>
  <c r="D79"/>
  <c r="C79" s="1"/>
  <c r="D232"/>
  <c r="C232" s="1"/>
  <c r="C3" i="2" s="1"/>
  <c r="C127" i="3"/>
  <c r="C128"/>
  <c r="F4" i="2" s="1"/>
  <c r="C120" i="3"/>
  <c r="D104" i="4"/>
  <c r="D229" i="3"/>
  <c r="C229" s="1"/>
  <c r="D191" i="4"/>
  <c r="C212" i="5"/>
  <c r="C211"/>
  <c r="C210"/>
  <c r="C209"/>
  <c r="C208"/>
  <c r="C207"/>
  <c r="C205"/>
  <c r="C204"/>
  <c r="C202"/>
  <c r="C201"/>
  <c r="C200"/>
  <c r="C199"/>
  <c r="C198"/>
  <c r="C197"/>
  <c r="C195"/>
  <c r="C194"/>
  <c r="C193"/>
  <c r="C192"/>
  <c r="C191"/>
  <c r="C190"/>
  <c r="C189"/>
  <c r="C188"/>
  <c r="C187"/>
  <c r="C181"/>
  <c r="C180"/>
  <c r="C177"/>
  <c r="C176"/>
  <c r="C175"/>
  <c r="C174"/>
  <c r="C173"/>
  <c r="C171"/>
  <c r="C170"/>
  <c r="C169"/>
  <c r="C168"/>
  <c r="C164"/>
  <c r="C162"/>
  <c r="C159"/>
  <c r="C158"/>
  <c r="C157"/>
  <c r="C156"/>
  <c r="C155"/>
  <c r="C154"/>
  <c r="C153"/>
  <c r="C152"/>
  <c r="C151"/>
  <c r="C150"/>
  <c r="C148"/>
  <c r="C147"/>
  <c r="C146"/>
  <c r="C145"/>
  <c r="C144"/>
  <c r="C143"/>
  <c r="C142"/>
  <c r="C141"/>
  <c r="C140"/>
  <c r="C139"/>
  <c r="C137"/>
  <c r="C136"/>
  <c r="C134"/>
  <c r="C133"/>
  <c r="C132"/>
  <c r="C131"/>
  <c r="C130"/>
  <c r="C128"/>
  <c r="C127"/>
  <c r="C126"/>
  <c r="C125"/>
  <c r="C124"/>
  <c r="C123"/>
  <c r="E119"/>
  <c r="C119" s="1"/>
  <c r="C86"/>
  <c r="C85"/>
  <c r="C84"/>
  <c r="C81"/>
  <c r="C80"/>
  <c r="C79"/>
  <c r="C78"/>
  <c r="C77"/>
  <c r="C75"/>
  <c r="C72"/>
  <c r="C71"/>
  <c r="C70"/>
  <c r="C69"/>
  <c r="C68"/>
  <c r="C67"/>
  <c r="C66"/>
  <c r="C65"/>
  <c r="C64"/>
  <c r="C63"/>
  <c r="C62"/>
  <c r="C61"/>
  <c r="C58"/>
  <c r="C57"/>
  <c r="C56"/>
  <c r="C55"/>
  <c r="C54"/>
  <c r="C53"/>
  <c r="C52"/>
  <c r="C51"/>
  <c r="C43"/>
  <c r="C39"/>
  <c r="C37"/>
  <c r="C34"/>
  <c r="E30"/>
  <c r="C30" s="1"/>
  <c r="E17"/>
  <c r="C17" s="1"/>
  <c r="E5"/>
  <c r="C5" s="1"/>
  <c r="C161" l="1"/>
  <c r="C191" i="4"/>
  <c r="C80"/>
  <c r="C104"/>
  <c r="E73" i="5"/>
  <c r="C73" s="1"/>
  <c r="C60"/>
  <c r="E82"/>
  <c r="C76"/>
  <c r="E87"/>
  <c r="C87" s="1"/>
  <c r="C83"/>
  <c r="E114"/>
  <c r="C109"/>
  <c r="E135"/>
  <c r="C135" s="1"/>
  <c r="C129"/>
  <c r="E149"/>
  <c r="C149" s="1"/>
  <c r="C138"/>
  <c r="E165"/>
  <c r="C165" s="1"/>
  <c r="C163"/>
  <c r="E172"/>
  <c r="C172" s="1"/>
  <c r="C167"/>
  <c r="E182"/>
  <c r="C182" s="1"/>
  <c r="C179"/>
  <c r="D216"/>
  <c r="C119" i="1"/>
  <c r="F5" i="2"/>
  <c r="D203" i="1"/>
  <c r="C203" s="1"/>
  <c r="D128" i="4"/>
  <c r="C128" s="1"/>
  <c r="E4" i="2" s="1"/>
  <c r="E5" s="1"/>
  <c r="E59" i="5"/>
  <c r="C59" s="1"/>
  <c r="E206"/>
  <c r="E26"/>
  <c r="C26" s="1"/>
  <c r="C33"/>
  <c r="C41"/>
  <c r="E178"/>
  <c r="C178" s="1"/>
  <c r="E21"/>
  <c r="C21" s="1"/>
  <c r="C206" l="1"/>
  <c r="E213"/>
  <c r="E121"/>
  <c r="C121" s="1"/>
  <c r="C114"/>
  <c r="E97"/>
  <c r="C97" s="1"/>
  <c r="C82"/>
  <c r="D126" i="1"/>
  <c r="D222" i="4"/>
  <c r="C222" s="1"/>
  <c r="E23" i="5"/>
  <c r="C213"/>
  <c r="E45"/>
  <c r="C45" s="1"/>
  <c r="E166"/>
  <c r="E183"/>
  <c r="C183" s="1"/>
  <c r="E22" l="1"/>
  <c r="C22" s="1"/>
  <c r="C23"/>
  <c r="E184"/>
  <c r="C184" s="1"/>
  <c r="C166"/>
  <c r="C126" i="1"/>
  <c r="D127"/>
  <c r="C127" s="1"/>
  <c r="C4" i="2" s="1"/>
  <c r="E44" i="5"/>
  <c r="C44" s="1"/>
  <c r="E186"/>
  <c r="C186" s="1"/>
  <c r="C5" i="2" l="1"/>
  <c r="E214" i="5"/>
  <c r="C214" s="1"/>
  <c r="D3" i="2" s="1"/>
  <c r="G3" s="1"/>
  <c r="D234" i="1"/>
  <c r="C234" s="1"/>
  <c r="E50" i="5"/>
  <c r="C50" s="1"/>
  <c r="E98" l="1"/>
  <c r="C98" s="1"/>
  <c r="E74"/>
  <c r="C74" s="1"/>
  <c r="E122" l="1"/>
  <c r="C122" s="1"/>
  <c r="D4" i="2" s="1"/>
  <c r="E185" i="5"/>
  <c r="C185" s="1"/>
  <c r="G4" i="2" l="1"/>
  <c r="D5"/>
  <c r="G5" s="1"/>
  <c r="E216" i="5"/>
  <c r="C216" s="1"/>
  <c r="C231" s="1"/>
  <c r="C232" l="1"/>
  <c r="E232" s="1"/>
  <c r="C233"/>
</calcChain>
</file>

<file path=xl/sharedStrings.xml><?xml version="1.0" encoding="utf-8"?>
<sst xmlns="http://schemas.openxmlformats.org/spreadsheetml/2006/main" count="1059" uniqueCount="425">
  <si>
    <t>Ft</t>
  </si>
  <si>
    <t>Rovatkód- Megnevezés</t>
  </si>
  <si>
    <t>K11 Foglalkoztatottak személyi juttatásai</t>
  </si>
  <si>
    <t>K1101 Törvény szerinti illetmények, munkabérek</t>
  </si>
  <si>
    <t>K1102 Normatív jutalmak</t>
  </si>
  <si>
    <t>K1105 Végkielégítés</t>
  </si>
  <si>
    <t>K1106 Jubileumi jutalom</t>
  </si>
  <si>
    <t>K1107 Béren kívüli juttatások</t>
  </si>
  <si>
    <t>K1108 Ruházati költségtérítés</t>
  </si>
  <si>
    <t>K1109 Közlekedési költségtérítés</t>
  </si>
  <si>
    <t>K1110 Egyéb költségtérítések</t>
  </si>
  <si>
    <t>K1111 Lakhatási támogatások</t>
  </si>
  <si>
    <t>K1112 Szociális támogatások</t>
  </si>
  <si>
    <t>K1113 Foglalkoztatottak egyéb személyi juttatásai</t>
  </si>
  <si>
    <t>K12 Külső személyi juttatások</t>
  </si>
  <si>
    <t>K121 Választott tisztségviselők juttatásai</t>
  </si>
  <si>
    <t>K122 Munkavégzésre irányuló egyéb jogviszonyban
nem saját foglalkoztatottnak fizetett juttatások</t>
  </si>
  <si>
    <t>K123 Egyéb külső személyi juttatások</t>
  </si>
  <si>
    <t>K1 Személyi juttatások</t>
  </si>
  <si>
    <t>K2 Munkaadókat terhelő járulékok és szociális hozzájárulási adó</t>
  </si>
  <si>
    <t>K31 Készletbeszerzés</t>
  </si>
  <si>
    <t>K311 Szakmai anyagok beszerzése</t>
  </si>
  <si>
    <t>K313 Árubeszerzés</t>
  </si>
  <si>
    <t>K32 Kommunikációs szolgáltatások</t>
  </si>
  <si>
    <t>K321 Informatikai szolgáltatások igénybevétele</t>
  </si>
  <si>
    <t>K33 Szolgáltatási kiadások</t>
  </si>
  <si>
    <t>K331 Közüzemi díjak</t>
  </si>
  <si>
    <t>K332 Vásárolt élelmezés</t>
  </si>
  <si>
    <t>K333 Bérleti és lízing díjak</t>
  </si>
  <si>
    <t>K334 Karbantartási, kisjavítási szolgáltatások</t>
  </si>
  <si>
    <t>K335 Közvetített szolgáltatások</t>
  </si>
  <si>
    <t>K336 Szakmai tevékenységet segítő szolgáltatások</t>
  </si>
  <si>
    <t>K34 Kiküldetések, reklám- és propagandakiadások</t>
  </si>
  <si>
    <t>K341 Kiküldetések kiadásai</t>
  </si>
  <si>
    <t>K342 Reklám- és propagandakiadások</t>
  </si>
  <si>
    <t>K35 Különféle befizetések és egyéb dologi kiadások</t>
  </si>
  <si>
    <t>K351 Működési célú előzetesen felszámított általános forgalmi adó</t>
  </si>
  <si>
    <t>K352 Fizetendő általános forgalmi adó</t>
  </si>
  <si>
    <t>K353 Kamatkiadások</t>
  </si>
  <si>
    <t>K354 Egyéb pénzügyi műveletek kiadásai</t>
  </si>
  <si>
    <t>K3 Dologi kiadások</t>
  </si>
  <si>
    <t>K41 Társadalombiztosítási ellátások</t>
  </si>
  <si>
    <t>K42 Családi támogatások</t>
  </si>
  <si>
    <t>K43 Pénzbeli kárpótlások, kártérítések</t>
  </si>
  <si>
    <t>K44 Betegséggel kapcsolatos (nem társadalombiztosítási) ellátások</t>
  </si>
  <si>
    <t>K45 Foglalkoztatással, munkanélküliséggel kapcsolatos ellátások</t>
  </si>
  <si>
    <t>K46 Lakhatással kapcsolatos ellátások</t>
  </si>
  <si>
    <t>K47 Intézményi ellátottak pénzbeli juttatásai</t>
  </si>
  <si>
    <t>K 48 Egyéb intézményi ellátások</t>
  </si>
  <si>
    <t>K4 Ellátottak pénzbeli juttatásai</t>
  </si>
  <si>
    <t>K501 Nemzetközi kötelezettségek</t>
  </si>
  <si>
    <t>K502 Elvonások és befizetések</t>
  </si>
  <si>
    <t>K503 Működési célú garancia és kezességvállalásból származó kifizetés ÁH belülre</t>
  </si>
  <si>
    <t>K504 Működési célú visszatérítendő támogatások, kölcsönök nyújtása ÁH belülre</t>
  </si>
  <si>
    <t>K505 Működési célú visszatérítendő támogatások, kölcönök törlesztsée ÁH belülre</t>
  </si>
  <si>
    <t>K506 Egyéb működési célú támogatások ÁH belülre</t>
  </si>
  <si>
    <t>K507 Működési célú garancia és kezességvállalásból származó kifizetés ÁH kívülre</t>
  </si>
  <si>
    <t>K508 Működési célú visszatérítendő támogatások, kölcsönök nyújtása ÁH kívülre</t>
  </si>
  <si>
    <t>K509 Árkiegészítése, ártámogatások</t>
  </si>
  <si>
    <t>K510 Kamattámogatások</t>
  </si>
  <si>
    <t>K511 Egyéb működési célú támogatások ÁH kívülre</t>
  </si>
  <si>
    <t>K512 Tartalékok általános</t>
  </si>
  <si>
    <t>K512 Tartalékok Cél</t>
  </si>
  <si>
    <t>K5 Egyéb működési célú kiadások</t>
  </si>
  <si>
    <t>K1-K5 MŰKÖDÉSI KÖLTSÉGVETÉS ELŐIRÁNYZAT CSOPORT</t>
  </si>
  <si>
    <t>K61 Immateriális javak beszerzése, létesítése</t>
  </si>
  <si>
    <t>K62 Ingatlanok beszerzése, létesítése</t>
  </si>
  <si>
    <t>K63 Informatikai eszközök beszerzése, létesítése</t>
  </si>
  <si>
    <t>K64 Egyéb tárgyi eszközök beszerzése, létesítése</t>
  </si>
  <si>
    <t>K65 Részesedések beszerzése</t>
  </si>
  <si>
    <t>K66 Meglévő részesedések növeléséhez kapcsolódó kiadások</t>
  </si>
  <si>
    <t>K67 Beruházási célú előzetesen felszámított ÁFA</t>
  </si>
  <si>
    <t>K6 Beruházások</t>
  </si>
  <si>
    <t>K71 Ingatlanok felújítása</t>
  </si>
  <si>
    <t>K72 Informatikai eszközök felújítása</t>
  </si>
  <si>
    <t>K73 Egyéb tárgyi eszközök felújíátása</t>
  </si>
  <si>
    <t>K74 Felújítási célú előzetesen felszámított ÁFA</t>
  </si>
  <si>
    <t>K7 Felújítások</t>
  </si>
  <si>
    <t>K81 Felhalmozási célú garancia- és kezességvállalásból származó kifizetés államháztartáson belülre</t>
  </si>
  <si>
    <t>K82 Felhalmozási célú visszatérítendő támogatások, kölcsönök nyújtása államháztartáson belülre</t>
  </si>
  <si>
    <t>K83 Felhalmozási célú visszatérítendő támogatások, kölcsönök törlesztése államháztartáson belülre</t>
  </si>
  <si>
    <t>K84 Egyéb felhalmozási célú támogatások államháztartáson belülre</t>
  </si>
  <si>
    <t>K85 Felhalmozási célú garancia- és kezességvállalásból származó kifizetés államháztartáson kívülre</t>
  </si>
  <si>
    <t>K86 Felhalmozási célú visszatérítendő támogatások, kölcsönök nyújtása államháztartáson kívülre</t>
  </si>
  <si>
    <t>K87 Lakástámogatás</t>
  </si>
  <si>
    <t>K88 Egyéb felhalmozási célú támogatások államháztartáson kívülre</t>
  </si>
  <si>
    <t>K8 Egyéb felhalmozási cálú kiadások</t>
  </si>
  <si>
    <t>K6-K8 FELHALMOZÁSI KÖLTSÉGVETÉS ELŐIRÁNYZAT CSOPORT</t>
  </si>
  <si>
    <t>KÖLTSÉGVETÉSI KIADÁSOK</t>
  </si>
  <si>
    <t>K 9111 Hosszú lejáratú hitelek, kölcsönök törlesztése</t>
  </si>
  <si>
    <t>K9112 Likviditási célú hitelek, kölcsönök törlesztése pénzügyi vállalkozásnak</t>
  </si>
  <si>
    <t>K9113 Rövid lejáratú hitelek, kölcsönök törlesztése</t>
  </si>
  <si>
    <t>K911 Hitel-, kölcsöntörlesztés államháztartáson kívülre</t>
  </si>
  <si>
    <t xml:space="preserve">K9121 Forgatási célú belföldi értékpapírok vásárlása </t>
  </si>
  <si>
    <t>K9122 Forgatási célú belföldi értékpapírok beváltása K9122</t>
  </si>
  <si>
    <t>K9123 Befektetési célú belföldi értékpapírok vásárlása K9123</t>
  </si>
  <si>
    <t>K9124Befektetési célú belföldi értékpapírok beváltása K9124</t>
  </si>
  <si>
    <t>K912 Belföldi értékpapírok kiadásai</t>
  </si>
  <si>
    <t>K913Államháztartáson belüli megelőlegezések folyósítása</t>
  </si>
  <si>
    <t>K914 Államháztartáson belüli megelőlegezések visszafizetése</t>
  </si>
  <si>
    <t>K915Központi, irányító szervi támogatások folyósítása</t>
  </si>
  <si>
    <t>K916 Pénzeszközök betétként elhelyezése</t>
  </si>
  <si>
    <t>K917 Pénzügyi lízing kiadásai</t>
  </si>
  <si>
    <t>K918 Központi költségvetés sajátos finanszírozási kiadásai</t>
  </si>
  <si>
    <t>K91 Belföldi finanszírozás kiadásai</t>
  </si>
  <si>
    <t>K921 Forgatási célú külföldi értékpapírok vásárlása</t>
  </si>
  <si>
    <t>K922 Befektetési célú külföldi értékpapírok vásárlása</t>
  </si>
  <si>
    <t>K923 Külföldi értékpapírok beváltása</t>
  </si>
  <si>
    <t>K924 Külföldi hitelek, kölcsönök törlesztése</t>
  </si>
  <si>
    <t>K92 Külföldi finanszírozás kiadásai</t>
  </si>
  <si>
    <t>K93 Adóssághoz nem kapcsolódó származékos ügyletek kiadásai</t>
  </si>
  <si>
    <t>K9 FINANSZÍROZÁSI KIADÁSOK</t>
  </si>
  <si>
    <t>K1-K9 KIADÁSOK MINDÖSSZESEN</t>
  </si>
  <si>
    <t>B111 Helyi önkormányzatok működésének általános támogatása</t>
  </si>
  <si>
    <t>B112 Települési önkormányzatok szociális feladatainak egyéb támogatása</t>
  </si>
  <si>
    <t>B113 Települési önkormányzatok szociális és gyermekjóléti feladatainak támogatása</t>
  </si>
  <si>
    <t>B114 Települési önkormányzatok kulturális feladatainak támogatása</t>
  </si>
  <si>
    <t>B115 Működési célú központosított előirányzatok</t>
  </si>
  <si>
    <t>B116 Helyi önkormányzatok kiegészítő támogatásai</t>
  </si>
  <si>
    <t>B11 Önkormányzatok működési támogatásai</t>
  </si>
  <si>
    <t>B12 Elvonások és befizetések bevételei</t>
  </si>
  <si>
    <t>B13 Működési célú garancia- és kezességvállalásból származó megtérülések államháztartáson belülről</t>
  </si>
  <si>
    <t>B14 Működési célú visszatérítendő támogatások, kölcsönök visszatérülése államháztartáson belülről</t>
  </si>
  <si>
    <t>B15 Működési célú visszatérítendő támogatások, kölcsönök igénybevétele államháztartáson belülről</t>
  </si>
  <si>
    <t>B16 Egyéb működési célú támogatások bevételei államháztartáson belülről</t>
  </si>
  <si>
    <t>B1 Működési célú támogatások államháztartáson belülről</t>
  </si>
  <si>
    <t>B311 Magánszemélyek jövedelemadói</t>
  </si>
  <si>
    <t>B312 Társaságok jövedelemadói</t>
  </si>
  <si>
    <t>B31 Jövedelemadók</t>
  </si>
  <si>
    <t>B32 Szociális hozzájárulási adó és járulékok</t>
  </si>
  <si>
    <t>B33 Bérhez és foglalkoztatáshoz kapcsolódó adók</t>
  </si>
  <si>
    <t>B34 Vagyoni tipusú adók</t>
  </si>
  <si>
    <t>B351 Értékesítési és forgalmi adók</t>
  </si>
  <si>
    <t>B352 Fogyasztási adók</t>
  </si>
  <si>
    <t>B353 Pénzügyi monopóliumok nyereségét terhelő adók</t>
  </si>
  <si>
    <t>B354 Gépjárműadók</t>
  </si>
  <si>
    <t>B355 Egyéb áruhasználati és szolgáltatási adók</t>
  </si>
  <si>
    <t>B35 Termékek és szolgáltatások adói</t>
  </si>
  <si>
    <t>B36 Egyéb közhatalmi bevételek</t>
  </si>
  <si>
    <t>B3 Közhatalmi bevételek</t>
  </si>
  <si>
    <t>B401 Áru- és készletértékesítés ellenértéke</t>
  </si>
  <si>
    <t>B402 Szolgáltatások ellenértéke</t>
  </si>
  <si>
    <t>B403 Közvetített szolgáltatások értéke</t>
  </si>
  <si>
    <t>B404 Tulajdonosi bevételek</t>
  </si>
  <si>
    <t>B405 Ellátási díjak</t>
  </si>
  <si>
    <t>B406 Kiszámlázott általános forgalmi adó</t>
  </si>
  <si>
    <t>B407 Általános forgalmi adó visszatérítése</t>
  </si>
  <si>
    <t>B408 Kamatbevételek</t>
  </si>
  <si>
    <t>B409 Egyéb pénzügyi műveletek bevételei</t>
  </si>
  <si>
    <t>B4 Működési bevételek</t>
  </si>
  <si>
    <t>B61 Működési célú garancia- és kezességvállalásból származó megtérülések államháztartáson kívülről</t>
  </si>
  <si>
    <t>B62 Működési célú visszatérítendő támogatások, kölcsönök visszatérülése államháztartáson kívülről</t>
  </si>
  <si>
    <t>B63 Egyéb működési célú átvett pénzeszközök</t>
  </si>
  <si>
    <t>B6 Működési célú átvett pénzeszközök</t>
  </si>
  <si>
    <t>MŰKÖDÉSI KÖLTSÉGVETÉS ELŐIRÁNYZAT CSOPORT</t>
  </si>
  <si>
    <t>B21 Felhalmozási célú önkormányzati támogatások</t>
  </si>
  <si>
    <t>B22 Felhalmozási célú garancia- és kezességvállalásból származó megtérülések államháztartáson belülről</t>
  </si>
  <si>
    <t>B23 Felhalmozási célú visszatérítendő támogatások, kölcsönök visszatérülése államháztartáson belülről</t>
  </si>
  <si>
    <t>B24 Felhalmozási célú visszatérítendő támogatások, kölcsönök igénybevétele államháztartáson belülről</t>
  </si>
  <si>
    <t>B25 Egyéb felhalmozási célú támogatások bevételei államháztartáson belülről</t>
  </si>
  <si>
    <t>B2 Felhalmozási célú támogatások államháztartáson belülről</t>
  </si>
  <si>
    <t>B51 Immateriális javak értékesítése</t>
  </si>
  <si>
    <t>B52 Ingatlanok értékesítése</t>
  </si>
  <si>
    <t>B53 Egyéb tárgyi eszközök értékesítése</t>
  </si>
  <si>
    <t>B54 Részesedések értékesítése</t>
  </si>
  <si>
    <t>B55 Részesedések megszűnéséhez kapcsolódó bevételek</t>
  </si>
  <si>
    <t>B5 Felhalmozási bevételek</t>
  </si>
  <si>
    <t>B71 Felhalmozási célú garancia- és kezességvállalásból származó megtérülések államháztartáson kívülről</t>
  </si>
  <si>
    <t>B72 Felhalmozási célú visszatérítendő támogatások, kölcsönök visszatérülése államháztartáson kívülről</t>
  </si>
  <si>
    <t>B73 Egyéb felhalmozási célú átvett pénzeszközök</t>
  </si>
  <si>
    <t>B7 Felhalmozási célú átvett pénzeszközök</t>
  </si>
  <si>
    <t>FELHALMOZÁSI KÖLTSÉGVETÉS ELŐIRÁNYZAT CSOPORT</t>
  </si>
  <si>
    <t>B1-B7 KÖLTSÉGVETÉSI BEVÉTELEK</t>
  </si>
  <si>
    <t>költségvetési egyenleg MŰKÖDÉSI</t>
  </si>
  <si>
    <t>költségvetési egyenleg FELHALMOZÁSI</t>
  </si>
  <si>
    <t>B8111 Hosszú lejáratú hitelek, kölcsönök felvétele</t>
  </si>
  <si>
    <t>B8112 Likviditási célú hitelek, kölcsönök felvétele pénzügyi vállalkozástól</t>
  </si>
  <si>
    <t>B8113 Rövid lejáratú hitelek, kölcsönök felvétele</t>
  </si>
  <si>
    <t>B811 Hitel-, kölcsönfelvétel államháztartáson kívülről</t>
  </si>
  <si>
    <t>B8121 Forgatási célú belföldi értékpapírok beváltása, értékesítése</t>
  </si>
  <si>
    <t>B8122 Forgatási célú belföldi értékpapírok kibocsátása</t>
  </si>
  <si>
    <t>B8123 Befektetési célú belföldi értékpapírok beváltása, értékesítése</t>
  </si>
  <si>
    <t>B8124 Befektetési célú belföldi értékpapírok kibocsátása</t>
  </si>
  <si>
    <t>B812 Belföldi értékpapírok bevételei</t>
  </si>
  <si>
    <t>B8131 Előző év költségvetési maradványának igénybevétele MŰKÖDÉSRE</t>
  </si>
  <si>
    <t>B8131 Előző év költségvetési maradványának igénybevétele FELHALMOZÁSRA</t>
  </si>
  <si>
    <t>B8132 Előző év vállalkozási maradványának igénybevétele MŰKÖDÉSRE</t>
  </si>
  <si>
    <t>B8132 Előző év vállalkozási maradványának igénybevétele FELHALMOZÁSRA</t>
  </si>
  <si>
    <t>B813 Maradvány igénybevétele</t>
  </si>
  <si>
    <t>B814 Államháztartáson belüli megelőlegezések</t>
  </si>
  <si>
    <t>B815 Államháztartáson belüli megelőlegezések törlesztése</t>
  </si>
  <si>
    <t>B816 Központi, irányító szervi támogatás</t>
  </si>
  <si>
    <t>B817 Betétek megszüntetése</t>
  </si>
  <si>
    <t>B818 Központi költségvetés sajátos finanszírozási bevételei</t>
  </si>
  <si>
    <t>B81 Belföldi finanszírozás bevételei</t>
  </si>
  <si>
    <t>B821 Forgatási célú külföldi értékpapírok beváltása, értékesítése</t>
  </si>
  <si>
    <t>B822 Befektetési célú külföldi értékpapírok beváltása, értékesítése</t>
  </si>
  <si>
    <t>B823 Külföldi értékpapírok kibocsátása</t>
  </si>
  <si>
    <t>B824 Külföldi hitelek, kölcsönök felvétele</t>
  </si>
  <si>
    <t>B82 Külföldi finanszírozás bevételei</t>
  </si>
  <si>
    <t>B83 Adóssághoz nem kapcsolódó származékos ügyletek bevételei</t>
  </si>
  <si>
    <t>B8 Finanszírozási bevételek</t>
  </si>
  <si>
    <t>B1-B8 BEVÉTELEK MINDÖSSZESEN</t>
  </si>
  <si>
    <t>011130 önk-ok ig.tev.</t>
  </si>
  <si>
    <t>K312 Üzemeltetési anyagok beszerzése (irodaszer)</t>
  </si>
  <si>
    <t>K21 Szocho</t>
  </si>
  <si>
    <t>K24 EHO</t>
  </si>
  <si>
    <t>K27 Szja</t>
  </si>
  <si>
    <t>K322 Egyéb kommunikációs szolgáltatások (telefon, internet költség)</t>
  </si>
  <si>
    <t>K337 Egyéb szolgáltatások  (bankköltség, egyéb költség)</t>
  </si>
  <si>
    <t>K355 Egyéb dologi kiadások (adók, díjak, biztosítás, kerekítési kül.)</t>
  </si>
  <si>
    <t>ebből</t>
  </si>
  <si>
    <t>Lovas: 3 fő</t>
  </si>
  <si>
    <t>Éves korr. Létszám 14 fő</t>
  </si>
  <si>
    <t>Alsóörs: 11 fő</t>
  </si>
  <si>
    <t>091110 óvodai nevelés</t>
  </si>
  <si>
    <t>104031 bölcsődei nevelés</t>
  </si>
  <si>
    <t>096015 gyermek étkeztetés</t>
  </si>
  <si>
    <t>018030 finanszírozás</t>
  </si>
  <si>
    <t>018030 fianszírozás</t>
  </si>
  <si>
    <t>K3121 Élelmiszer beszerzés</t>
  </si>
  <si>
    <t xml:space="preserve">K312 Üzemeltetési anyagok beszerzése </t>
  </si>
  <si>
    <t>107051 szoc. Ékteztetés</t>
  </si>
  <si>
    <t>K3311 Áram</t>
  </si>
  <si>
    <t>K3312 Gáz</t>
  </si>
  <si>
    <t>K3312 Víz</t>
  </si>
  <si>
    <t>B405 Ellátási díjak (óvodás, bölcsődés, sazociális étkezés befizetés)</t>
  </si>
  <si>
    <t xml:space="preserve">B401 Áru- és készletértékesítés ellenértéke </t>
  </si>
  <si>
    <r>
      <t xml:space="preserve"> </t>
    </r>
    <r>
      <rPr>
        <b/>
        <sz val="12"/>
        <rFont val="Arial"/>
        <family val="2"/>
        <charset val="238"/>
      </rPr>
      <t xml:space="preserve">063020 </t>
    </r>
    <r>
      <rPr>
        <b/>
        <sz val="9"/>
        <rFont val="Arial"/>
        <family val="2"/>
        <charset val="238"/>
      </rPr>
      <t>Víztermelés, -kezelés, -ellátás</t>
    </r>
  </si>
  <si>
    <r>
      <t xml:space="preserve"> </t>
    </r>
    <r>
      <rPr>
        <b/>
        <sz val="12"/>
        <rFont val="Arial"/>
        <family val="2"/>
        <charset val="238"/>
      </rPr>
      <t xml:space="preserve">052020 </t>
    </r>
    <r>
      <rPr>
        <b/>
        <sz val="9"/>
        <rFont val="Arial"/>
        <family val="2"/>
        <charset val="238"/>
      </rPr>
      <t>Szennyvíz gyűjtése, tisztítása, elhelyezése</t>
    </r>
  </si>
  <si>
    <r>
      <t xml:space="preserve">045160 </t>
    </r>
    <r>
      <rPr>
        <b/>
        <sz val="9"/>
        <rFont val="Arial"/>
        <family val="2"/>
        <charset val="238"/>
      </rPr>
      <t>Közutak, hidak, alagutak üzemeltetése, fenntartása</t>
    </r>
  </si>
  <si>
    <r>
      <t>081071</t>
    </r>
    <r>
      <rPr>
        <b/>
        <sz val="9"/>
        <rFont val="Arial"/>
        <family val="2"/>
        <charset val="238"/>
      </rPr>
      <t xml:space="preserve"> Üdülői szálláshely-szolgáltatás és étkeztetés</t>
    </r>
  </si>
  <si>
    <r>
      <t>042180</t>
    </r>
    <r>
      <rPr>
        <b/>
        <sz val="9"/>
        <rFont val="Arial"/>
        <family val="2"/>
        <charset val="238"/>
      </rPr>
      <t xml:space="preserve"> Állat-egészségügy</t>
    </r>
  </si>
  <si>
    <r>
      <t xml:space="preserve">066010 </t>
    </r>
    <r>
      <rPr>
        <b/>
        <sz val="9"/>
        <rFont val="Arial"/>
        <family val="2"/>
        <charset val="238"/>
      </rPr>
      <t>Zöldterület-kezelés</t>
    </r>
  </si>
  <si>
    <r>
      <t xml:space="preserve">064010 </t>
    </r>
    <r>
      <rPr>
        <b/>
        <sz val="9"/>
        <rFont val="Arial"/>
        <family val="2"/>
        <charset val="238"/>
      </rPr>
      <t>Közvilágítás</t>
    </r>
  </si>
  <si>
    <r>
      <t xml:space="preserve"> </t>
    </r>
    <r>
      <rPr>
        <b/>
        <sz val="12"/>
        <rFont val="Arial"/>
        <family val="2"/>
        <charset val="238"/>
      </rPr>
      <t xml:space="preserve">066020 </t>
    </r>
    <r>
      <rPr>
        <b/>
        <sz val="9"/>
        <rFont val="Arial"/>
        <family val="2"/>
        <charset val="238"/>
      </rPr>
      <t>Város-, községgazdálkodási egyéb szolgáltatások</t>
    </r>
  </si>
  <si>
    <r>
      <t xml:space="preserve"> </t>
    </r>
    <r>
      <rPr>
        <b/>
        <sz val="12"/>
        <rFont val="Arial"/>
        <family val="2"/>
        <charset val="238"/>
      </rPr>
      <t>081030</t>
    </r>
    <r>
      <rPr>
        <b/>
        <sz val="9"/>
        <rFont val="Arial"/>
        <family val="2"/>
        <charset val="238"/>
      </rPr>
      <t xml:space="preserve"> Sportlétesítmények, edzőtáborok működtetése és fejlesztése</t>
    </r>
  </si>
  <si>
    <r>
      <t xml:space="preserve"> </t>
    </r>
    <r>
      <rPr>
        <b/>
        <sz val="12"/>
        <rFont val="Arial"/>
        <family val="2"/>
        <charset val="238"/>
      </rPr>
      <t xml:space="preserve">081061 </t>
    </r>
    <r>
      <rPr>
        <b/>
        <sz val="9"/>
        <rFont val="Arial"/>
        <family val="2"/>
        <charset val="238"/>
      </rPr>
      <t>Szabadidős park, fürdő és strandszolgáltatás</t>
    </r>
  </si>
  <si>
    <r>
      <t xml:space="preserve"> </t>
    </r>
    <r>
      <rPr>
        <b/>
        <sz val="12"/>
        <rFont val="Arial"/>
        <family val="2"/>
        <charset val="238"/>
      </rPr>
      <t>013320</t>
    </r>
    <r>
      <rPr>
        <b/>
        <sz val="9"/>
        <rFont val="Arial"/>
        <family val="2"/>
        <charset val="238"/>
      </rPr>
      <t xml:space="preserve"> Köztemető-fenntartás és -működtetés</t>
    </r>
  </si>
  <si>
    <t xml:space="preserve">Korm. Funció 018030 finanszírozás </t>
  </si>
  <si>
    <t>K3129 Egyéb anyag beszerzés (üzemanyag,irodaszer,gyógyszer,tisztítószer, munkaruha karb.anyag, növény, egyéb anyag)</t>
  </si>
  <si>
    <t xml:space="preserve">B402 Szolgáltatások ellenértéke </t>
  </si>
  <si>
    <t>B40291 Admin.díj kemping jog eladás</t>
  </si>
  <si>
    <t>B40292 Lakókocsi szálláshely szolg, tárolás</t>
  </si>
  <si>
    <t>B40293 Beeső vendégek kemping</t>
  </si>
  <si>
    <t>B40294 Szálláshely</t>
  </si>
  <si>
    <t>B40295 Strandjegy bevétel</t>
  </si>
  <si>
    <t>B40296 Strand területbérlet</t>
  </si>
  <si>
    <t>B40297 Sportcsarnok terembér</t>
  </si>
  <si>
    <t>B403 Közvetített szolgáltatások értéke (továbbszámlázott áram Kemping)</t>
  </si>
  <si>
    <t>5 fő</t>
  </si>
  <si>
    <t>2 fő</t>
  </si>
  <si>
    <t>1 int.vez</t>
  </si>
  <si>
    <t>1 int.vez.h.</t>
  </si>
  <si>
    <t>1 szálláshelyes</t>
  </si>
  <si>
    <t>1 strandgondok</t>
  </si>
  <si>
    <t>1 kemping gondnok</t>
  </si>
  <si>
    <t>9 fizikai</t>
  </si>
  <si>
    <t>5 idény dolgozó</t>
  </si>
  <si>
    <t>Éves korr. Létszám 22 fő</t>
  </si>
  <si>
    <r>
      <t xml:space="preserve"> </t>
    </r>
    <r>
      <rPr>
        <b/>
        <sz val="12"/>
        <rFont val="Times New Roman"/>
        <family val="1"/>
        <charset val="238"/>
      </rPr>
      <t xml:space="preserve">011130 </t>
    </r>
    <r>
      <rPr>
        <b/>
        <sz val="9"/>
        <rFont val="Times New Roman"/>
        <family val="1"/>
        <charset val="238"/>
      </rPr>
      <t>Önkormányzatok és Önkorm.Hivatalok jogalkotó és ált. igazgatási tev.-e</t>
    </r>
  </si>
  <si>
    <r>
      <t xml:space="preserve">013350 </t>
    </r>
    <r>
      <rPr>
        <b/>
        <sz val="9"/>
        <rFont val="Times New Roman"/>
        <family val="1"/>
        <charset val="238"/>
      </rPr>
      <t>Az önkormányzati vagyonnal való gazdálkodással kapcsolatos feladatok</t>
    </r>
  </si>
  <si>
    <r>
      <t xml:space="preserve"> </t>
    </r>
    <r>
      <rPr>
        <b/>
        <sz val="12"/>
        <rFont val="Times New Roman"/>
        <family val="1"/>
        <charset val="238"/>
      </rPr>
      <t>018010</t>
    </r>
    <r>
      <rPr>
        <b/>
        <sz val="9"/>
        <rFont val="Times New Roman"/>
        <family val="1"/>
        <charset val="238"/>
      </rPr>
      <t xml:space="preserve"> Önkormányzatok elszámolásai a központi költségvetéssel</t>
    </r>
    <r>
      <rPr>
        <b/>
        <sz val="8"/>
        <rFont val="Times New Roman"/>
        <family val="1"/>
        <charset val="238"/>
      </rPr>
      <t>.</t>
    </r>
  </si>
  <si>
    <r>
      <t xml:space="preserve"> </t>
    </r>
    <r>
      <rPr>
        <b/>
        <sz val="12"/>
        <rFont val="Times New Roman"/>
        <family val="1"/>
        <charset val="238"/>
      </rPr>
      <t>018030</t>
    </r>
    <r>
      <rPr>
        <b/>
        <sz val="9"/>
        <rFont val="Times New Roman"/>
        <family val="1"/>
        <charset val="238"/>
      </rPr>
      <t xml:space="preserve"> Támogatási célú finanszírozási műveletek </t>
    </r>
    <r>
      <rPr>
        <b/>
        <sz val="8"/>
        <rFont val="Times New Roman"/>
        <family val="1"/>
        <charset val="238"/>
      </rPr>
      <t>költségvetési maradvány igénybevétele,   irányító szerv által nyújtott támogatás.</t>
    </r>
  </si>
  <si>
    <r>
      <t xml:space="preserve">041233 </t>
    </r>
    <r>
      <rPr>
        <b/>
        <sz val="9"/>
        <rFont val="Times New Roman"/>
        <family val="1"/>
        <charset val="238"/>
      </rPr>
      <t>Hosszabb időtartamú közfoglalkoztatás</t>
    </r>
  </si>
  <si>
    <r>
      <t>047320</t>
    </r>
    <r>
      <rPr>
        <b/>
        <sz val="9"/>
        <rFont val="Times New Roman"/>
        <family val="1"/>
        <charset val="238"/>
      </rPr>
      <t xml:space="preserve"> Turizmusfejlesztési támogatások és tevékenységek</t>
    </r>
  </si>
  <si>
    <r>
      <t xml:space="preserve">074031 </t>
    </r>
    <r>
      <rPr>
        <b/>
        <sz val="9"/>
        <rFont val="Times New Roman"/>
        <family val="1"/>
        <charset val="238"/>
      </rPr>
      <t>Család és nővédelmi egészségügyi gondozás</t>
    </r>
  </si>
  <si>
    <r>
      <t>081041</t>
    </r>
    <r>
      <rPr>
        <b/>
        <sz val="9"/>
        <rFont val="Times New Roman"/>
        <family val="1"/>
        <charset val="238"/>
      </rPr>
      <t xml:space="preserve"> Versenysport- és utánpótlás-nevelési tevékenység és támogatása</t>
    </r>
  </si>
  <si>
    <r>
      <t>082044</t>
    </r>
    <r>
      <rPr>
        <b/>
        <sz val="9"/>
        <rFont val="Times New Roman"/>
        <family val="1"/>
        <charset val="238"/>
      </rPr>
      <t xml:space="preserve"> Könyvtári szolgáltatások</t>
    </r>
  </si>
  <si>
    <r>
      <t xml:space="preserve">082091 </t>
    </r>
    <r>
      <rPr>
        <b/>
        <sz val="9"/>
        <rFont val="Times New Roman"/>
        <family val="1"/>
        <charset val="238"/>
      </rPr>
      <t>Közművelődés – közösségi és társadalmi részvétel fejlesztése</t>
    </r>
  </si>
  <si>
    <r>
      <t xml:space="preserve">084031 </t>
    </r>
    <r>
      <rPr>
        <b/>
        <sz val="9"/>
        <rFont val="Times New Roman"/>
        <family val="1"/>
        <charset val="238"/>
      </rPr>
      <t>Civil szervezetek működési támogatása</t>
    </r>
  </si>
  <si>
    <r>
      <t xml:space="preserve">084040 </t>
    </r>
    <r>
      <rPr>
        <b/>
        <sz val="9"/>
        <rFont val="Times New Roman"/>
        <family val="1"/>
        <charset val="238"/>
      </rPr>
      <t>Egyházak közösségi és hitéleti tevékenységének támogatása</t>
    </r>
  </si>
  <si>
    <r>
      <t xml:space="preserve">086090 </t>
    </r>
    <r>
      <rPr>
        <b/>
        <sz val="9"/>
        <rFont val="Times New Roman"/>
        <family val="1"/>
        <charset val="238"/>
      </rPr>
      <t>Mindenféle egyéb szabadidős szolgáltatás</t>
    </r>
  </si>
  <si>
    <r>
      <t xml:space="preserve">094260 </t>
    </r>
    <r>
      <rPr>
        <b/>
        <sz val="9"/>
        <rFont val="Times New Roman"/>
        <family val="1"/>
        <charset val="238"/>
      </rPr>
      <t>Hallgatói és oktatói ösztöndíjak, egyéb juttatások</t>
    </r>
  </si>
  <si>
    <r>
      <t>107060</t>
    </r>
    <r>
      <rPr>
        <b/>
        <sz val="9"/>
        <rFont val="Times New Roman"/>
        <family val="1"/>
        <charset val="238"/>
      </rPr>
      <t xml:space="preserve"> Egyéb szociális pénzbeli és természetbeni ellátások, támogatások</t>
    </r>
  </si>
  <si>
    <r>
      <t>096015</t>
    </r>
    <r>
      <rPr>
        <b/>
        <sz val="9"/>
        <rFont val="Times New Roman"/>
        <family val="1"/>
        <charset val="238"/>
      </rPr>
      <t xml:space="preserve"> Gyermekétkeztetés köznev. Int-ben</t>
    </r>
  </si>
  <si>
    <r>
      <t>104035</t>
    </r>
    <r>
      <rPr>
        <b/>
        <sz val="9"/>
        <rFont val="Times New Roman"/>
        <family val="1"/>
        <charset val="238"/>
      </rPr>
      <t xml:space="preserve"> Gyermekétkeztetés bölcsődében</t>
    </r>
  </si>
  <si>
    <r>
      <t>107051</t>
    </r>
    <r>
      <rPr>
        <b/>
        <sz val="9"/>
        <rFont val="Times New Roman"/>
        <family val="1"/>
        <charset val="238"/>
      </rPr>
      <t xml:space="preserve">  Szociális étkeztetés</t>
    </r>
  </si>
  <si>
    <t>K 48 Egyéb intézményi ellátások (települési támogatások, első lakáshoz jutók tám-sa, egyéb nem int-i ellátások, beiskolázási tám.)</t>
  </si>
  <si>
    <t>K506 Egyéb működési célú támogatások ÁH belülre (B.almádi szoc.társ, B.almádi Önk., B.füred Társ. Részére átadott pénzeszközök)</t>
  </si>
  <si>
    <t>K513 Tartalékok általános</t>
  </si>
  <si>
    <t>K513 Tartalékok Cél</t>
  </si>
  <si>
    <t>B112 Települési önkormányzatok köznevelési feladatainak egyéb támogatása</t>
  </si>
  <si>
    <t>B341 Építményadó</t>
  </si>
  <si>
    <t>B344 Teleakdó</t>
  </si>
  <si>
    <r>
      <rPr>
        <b/>
        <sz val="12"/>
        <color indexed="8"/>
        <rFont val="Times New Roman"/>
        <family val="1"/>
        <charset val="238"/>
      </rPr>
      <t>B355</t>
    </r>
    <r>
      <rPr>
        <sz val="12"/>
        <color indexed="8"/>
        <rFont val="Times New Roman"/>
        <family val="1"/>
        <charset val="238"/>
      </rPr>
      <t xml:space="preserve"> Termékek és szolgáltatások adói </t>
    </r>
    <r>
      <rPr>
        <b/>
        <sz val="12"/>
        <color indexed="8"/>
        <rFont val="Times New Roman"/>
        <family val="1"/>
        <charset val="238"/>
      </rPr>
      <t>Tartózkodás utáni IFA</t>
    </r>
  </si>
  <si>
    <t>B40298 Gépkocsi használat</t>
  </si>
  <si>
    <t>B40299 Strand pavilon bérlet</t>
  </si>
  <si>
    <t>B402910 Egyéb helyiségek bérleti díjs</t>
  </si>
  <si>
    <t>B402911 Bérleti jog megváltás díja</t>
  </si>
  <si>
    <t>B402912 Művház terembér</t>
  </si>
  <si>
    <t>B403 Közvetített szolgáltatások értéke (továbbszámlázott áram Kemping, tTurinform iroda)</t>
  </si>
  <si>
    <t>1 fő</t>
  </si>
  <si>
    <t>1 könyvtáros</t>
  </si>
  <si>
    <t>1 védőnő</t>
  </si>
  <si>
    <t>ÖNKORM.</t>
  </si>
  <si>
    <t>Közös Hiv.</t>
  </si>
  <si>
    <t>Óvoda</t>
  </si>
  <si>
    <t>TEMÜSZ</t>
  </si>
  <si>
    <t>ÖSSZESEN</t>
  </si>
  <si>
    <t>Bevétel</t>
  </si>
  <si>
    <t>Kiadás</t>
  </si>
  <si>
    <t>Hiány/Többlet</t>
  </si>
  <si>
    <t xml:space="preserve">plusz/mínusz </t>
  </si>
  <si>
    <t>K351 Működési célú előzetesen felszámított általános forgalmi adó LEVONHATÓ</t>
  </si>
  <si>
    <t xml:space="preserve">nettó </t>
  </si>
  <si>
    <t>le nem vonható Áfa</t>
  </si>
  <si>
    <t>Levonható Áfa</t>
  </si>
  <si>
    <t>bruttó</t>
  </si>
  <si>
    <t>091140 óvoda működtetés</t>
  </si>
  <si>
    <t>K342 Reklám- és propagandakiadások (prospektus)</t>
  </si>
  <si>
    <t>B4082 Kamatbevételek</t>
  </si>
  <si>
    <t>B410 Biztosító által fizetett kártérítés</t>
  </si>
  <si>
    <t>B411 Egyéb működési bevételek</t>
  </si>
  <si>
    <t>104035 bölcsődei étkeztetés</t>
  </si>
  <si>
    <t>11 fő</t>
  </si>
  <si>
    <t>K334 Karbantartási, kisjavítási szolgáltatások (fénymásoló havi díj, épület, berendezés karbantartás)</t>
  </si>
  <si>
    <t>K3129 Egyéb anyag beszerzés (könyv, csoportokba papír, ceruza, ragasztó stb., irodaszer,gyógyszer,tisztítószer, karb.anyag, növény, egyéb anyag)</t>
  </si>
  <si>
    <t>BERUHÁZÁSOK</t>
  </si>
  <si>
    <r>
      <rPr>
        <b/>
        <sz val="12"/>
        <color indexed="8"/>
        <rFont val="Times New Roman"/>
        <family val="1"/>
        <charset val="238"/>
      </rPr>
      <t>B35107</t>
    </r>
    <r>
      <rPr>
        <sz val="12"/>
        <color indexed="8"/>
        <rFont val="Times New Roman"/>
        <family val="1"/>
        <charset val="238"/>
      </rPr>
      <t xml:space="preserve"> Értékesítési és forgalmi adók (</t>
    </r>
    <r>
      <rPr>
        <b/>
        <sz val="12"/>
        <color indexed="8"/>
        <rFont val="Times New Roman"/>
        <family val="1"/>
        <charset val="238"/>
      </rPr>
      <t>Iparűzési adó)</t>
    </r>
  </si>
  <si>
    <t>FŐÖSSZEG</t>
  </si>
  <si>
    <t>ALSÓÖRSI TELEPÜLÉSMŰKÖDTETÉSI ÉS KÖZSÉGG.SZERVEZET 2020.  ÉVI KÖLTSÉGVETÉSE</t>
  </si>
  <si>
    <t>ALSÓÖRS KÖZSÉG ÖNKORMÁNYZATA 2020. ÉVI KÖLTSÉGVETÉSE</t>
  </si>
  <si>
    <t>NAPRAFORGÓ ÓVODA ÉS BÖLCSŐDE 2020. ÉVI KÖLTSÉGVETÉSE</t>
  </si>
  <si>
    <t>ALSÓÖRSI KÖZÖS ÖNK.HIV. 2020. ÉVI KÖLTSÉGVETÉSE</t>
  </si>
  <si>
    <t>2020. évi EI</t>
  </si>
  <si>
    <t>K1103 Céljuttatás (esküvő)</t>
  </si>
  <si>
    <t>K1110 Egyéb költségtérítések (folyószámla ktgtér)</t>
  </si>
  <si>
    <t>NORMATÍV TÁMOGATÁS</t>
  </si>
  <si>
    <t>7,49 FŐ</t>
  </si>
  <si>
    <t>2020 évben</t>
  </si>
  <si>
    <t>Alsóörs Község Önkormányzata által nyújtott finanszírozásban jelenik meg</t>
  </si>
  <si>
    <t>K1110 Egyéb költségtérítések (folyószámla)</t>
  </si>
  <si>
    <t>K1113 Foglalkoztatottak egyéb személyi juttatásai (15 nap betegszabi, béren kívüli juttatás pénzben) (munkáltatói önkéntes nyp-i befizetés)</t>
  </si>
  <si>
    <t>K332 Vásárolt élelmezés (nyári, téli szoc. Étkezés, idegen Szállító)</t>
  </si>
  <si>
    <t>B406 Kiszámlázott általános forgalmi adó (szoc.étk.támogatási része után is kell áfa-t fizetni)</t>
  </si>
  <si>
    <t>Éves korr. Létszám 18 fő</t>
  </si>
  <si>
    <t>Óvoda kerítés festés, javítás</t>
  </si>
  <si>
    <t>Térkövezés első udvar</t>
  </si>
  <si>
    <t>Udvari homokozó, kisház felújítása</t>
  </si>
  <si>
    <t>Gumitégla fa alá, udvarra</t>
  </si>
  <si>
    <t>Árnnyékoló bölcsiseknek, udvari mászóka</t>
  </si>
  <si>
    <t>Szúnyogháló konyhába</t>
  </si>
  <si>
    <t>Előtető bejárati ajtó, étterem ajtó fölé</t>
  </si>
  <si>
    <t>2 db laptop</t>
  </si>
  <si>
    <t>Színes nyomtató</t>
  </si>
  <si>
    <t>Szeletelőgép</t>
  </si>
  <si>
    <t>Botmixer</t>
  </si>
  <si>
    <t>K336 Szakmai tevékenységet segítő szolgáltatások (kutyaterápiás, foglalkozás, logopédia, néptánc)</t>
  </si>
  <si>
    <t>K337 Egyéb szolgáltatások  (tűzjelző, bankköltség, adminisztrációs költség, HACCP, posta ktg, szemét száll., rovarírtás, uszoda belépő, egyéb költség)</t>
  </si>
  <si>
    <t>néptánc, logopédus, kutyaterápia</t>
  </si>
  <si>
    <t>uszoda</t>
  </si>
  <si>
    <t>K63 Informatikai eszközök beszerzése, létesítése (2 db laptop, nyomtató)</t>
  </si>
  <si>
    <t>K334</t>
  </si>
  <si>
    <t>B402913 Szolgáltatások ellenértéke (vengég étkezők befizetései - iskola is - )</t>
  </si>
  <si>
    <r>
      <t xml:space="preserve">K3129 Egyéb anyag beszerzés (üzemanyag,irodaszer,gyógyszer,tisztítószer, munkaruha karb.anyag, növény, egyéb anyag, utakra murva, csap.víz rendezés, </t>
    </r>
    <r>
      <rPr>
        <u/>
        <sz val="12"/>
        <color indexed="8"/>
        <rFont val="Times New Roman"/>
        <family val="1"/>
        <charset val="238"/>
      </rPr>
      <t xml:space="preserve">Strand: </t>
    </r>
    <r>
      <rPr>
        <sz val="12"/>
        <color indexed="8"/>
        <rFont val="Times New Roman"/>
        <family val="1"/>
        <charset val="238"/>
      </rPr>
      <t>egyéb anyag 2.000.000, festék anyagktg 2.000.000,  )</t>
    </r>
  </si>
  <si>
    <t>beszámítás</t>
  </si>
  <si>
    <t>TÁMOGATÁS BESZÁMÍTÁS UTÁN</t>
  </si>
  <si>
    <t>Lakosságszám Alsóörs 2019.01.01-jén 1880 fő</t>
  </si>
  <si>
    <t>Lakosságszám Lovas 2019.01.01-jén 477 fő</t>
  </si>
  <si>
    <t>Összes lakosságszám 2357 fő</t>
  </si>
  <si>
    <t>Támogatással csökkentett összeg</t>
  </si>
  <si>
    <t>Lovasra jutó költség</t>
  </si>
  <si>
    <t>Alsóörsre jutó költség</t>
  </si>
  <si>
    <t>levonás megáll.alapján</t>
  </si>
  <si>
    <t>B52 Ingatlanok értékesítése (Régi hivatal ép.-ből előző évi maradvány 10.000.000)</t>
  </si>
  <si>
    <t>K512 Egyéb működési célú támogatások ÁH kívülre (civil szervezetek, egyesületek, alapítványok támogatása 3.000.000, egyházak 1.000.000+5.000.000, iskola 20.000.000, színház 1.800.000)</t>
  </si>
  <si>
    <r>
      <t>072112</t>
    </r>
    <r>
      <rPr>
        <b/>
        <sz val="9"/>
        <rFont val="Times New Roman"/>
        <family val="1"/>
        <charset val="238"/>
      </rPr>
      <t xml:space="preserve"> Háziorvosi ügyeleti ellátás</t>
    </r>
  </si>
  <si>
    <t>K337 Egyéb szolgáltatások  (bankköltség, biztosítási díj, posta ktg, szemét száll., szúnyogírtás, könyvkiadás, rendelő takarítás,  egyéb költség, rendezvények)</t>
  </si>
  <si>
    <t>K336 Szakmai tevékenységet segítő szolgáltatások (ügyvéd, közbeszerzés, játszóterek felülfizsgálata, orvosi ügyelet hozzájárulás, fogl.eü. Ellátás)</t>
  </si>
  <si>
    <t>K355 Egyéb dologi kiadások (adók, díjak, Artisjus, kerekítési kül.)</t>
  </si>
  <si>
    <r>
      <t xml:space="preserve">K334 Karbantartási, kisjavítási szolgáltatások (ingatlan-,gép-,berendezés karbantartás, parkgondozás, közvil.karbant., karácsonyi díszkiv.le-fel szerelése, út karbantartás, kátyúzás, </t>
    </r>
    <r>
      <rPr>
        <u/>
        <sz val="12"/>
        <color indexed="8"/>
        <rFont val="Times New Roman"/>
        <family val="1"/>
        <charset val="238"/>
      </rPr>
      <t>Strand:</t>
    </r>
    <r>
      <rPr>
        <sz val="12"/>
        <color indexed="8"/>
        <rFont val="Times New Roman"/>
        <family val="1"/>
        <charset val="238"/>
      </rPr>
      <t xml:space="preserve"> egyéb strandi karbantartás 6.000.000 </t>
    </r>
    <r>
      <rPr>
        <u/>
        <sz val="12"/>
        <color indexed="8"/>
        <rFont val="Times New Roman"/>
        <family val="1"/>
        <charset val="238"/>
      </rPr>
      <t>Kemping:</t>
    </r>
    <r>
      <rPr>
        <sz val="12"/>
        <color indexed="8"/>
        <rFont val="Times New Roman"/>
        <family val="1"/>
        <charset val="238"/>
      </rPr>
      <t xml:space="preserve"> vizesblokk elválasztó panelek, napkollektorok karbantartása, strand felöli kerítés, 2 helyen tűzcsap kialakítás, faasztal-pad sátorhelyekhez, közös konyha kialakítás, wifi, Kilátó tetejének karbantartása Temető: rézsű burkolás 300.000, stb.)</t>
    </r>
  </si>
  <si>
    <t>K337 Egyéb szolgáltatások  (strand-kemping vizesblokk takarítás, vizimentés, elsősegély, bankköltség, HACCP, posta ktg, szemét száll., rovarírtás, egyéb költség)</t>
  </si>
  <si>
    <t>Szálláshely elektromos hálózat strandbejárat felett 400.000</t>
  </si>
  <si>
    <t>Szálláshely párna, ágynemű, rezsó, napernyő</t>
  </si>
  <si>
    <t>Szálláshely II. kapu festés, mázolás</t>
  </si>
  <si>
    <t>Szálláshely II. kapu tusoló ablakcsere</t>
  </si>
  <si>
    <t>Nagy aparman légkondi</t>
  </si>
  <si>
    <t>Faház tusoló javítás</t>
  </si>
  <si>
    <t>Mellvéd paraván javítás</t>
  </si>
  <si>
    <t>Strandi hangosítás (új)</t>
  </si>
  <si>
    <t>Nyilvános WC festés</t>
  </si>
  <si>
    <t>Ivókút Szabadságtér, Temüsz telephely elé</t>
  </si>
  <si>
    <t>Játszótér árnyékolás May J. utca, Mersepark</t>
  </si>
  <si>
    <t>Kemping szoftver</t>
  </si>
  <si>
    <t>3 db számítógép Temüsz iroda</t>
  </si>
  <si>
    <t>Óvoda köz, Gagarin u. csap.víz elvezetés, burkolás, parkoló</t>
  </si>
  <si>
    <t>2 db buszmegálló</t>
  </si>
  <si>
    <t>Vímű telephely csarnok</t>
  </si>
  <si>
    <t>Közvilágítás</t>
  </si>
  <si>
    <t>nettó összesen</t>
  </si>
  <si>
    <t>K3129</t>
  </si>
  <si>
    <t>Kemping</t>
  </si>
  <si>
    <t>Strand</t>
  </si>
  <si>
    <t>Sportcsarnok</t>
  </si>
  <si>
    <t>VARÁZSERDŐ</t>
  </si>
  <si>
    <t>KERÉKPÁRÚT</t>
  </si>
  <si>
    <t>megkapjuk márciusban</t>
  </si>
  <si>
    <t>Nagynyomású mosó Strandra</t>
  </si>
  <si>
    <t>Takarítógép sportcsarnokban</t>
  </si>
  <si>
    <t>Sportcsarnok lelátó védőháló, szigetelés, szőnyeg</t>
  </si>
  <si>
    <t>3 idénydolgozó</t>
  </si>
  <si>
    <t>2 üi.</t>
  </si>
  <si>
    <t>17 fő</t>
  </si>
  <si>
    <t>1 (3 fő) részm.idős szemétszedés, öntözés sportp.</t>
  </si>
  <si>
    <t>Fűnyíró traktor</t>
  </si>
  <si>
    <t>B16 Egyéb működési célú támogatások bevételei államháztartáson belülről (Lovas Közs. Önk. Tám., Óvoda: 1.200.000 Ft, Védőnő: 800.000 Ft, Közös Hivatal tám: kb. 6.600.000 Ft)</t>
  </si>
  <si>
    <t>Kilátó mázolás</t>
  </si>
  <si>
    <t>Telekvásárlás</t>
  </si>
  <si>
    <t>K3313 Víz</t>
  </si>
  <si>
    <t>2,75 fő</t>
  </si>
  <si>
    <t>17,75 fő</t>
  </si>
  <si>
    <t>NEM Levonható Áfa</t>
  </si>
  <si>
    <t>3 fő</t>
  </si>
  <si>
    <t>B73 Egyéb felhalmozási célú átvett pénzeszközök (Közalapítványtól 5.000.000 Ft, ebből. 1.700.000 Tájház bontás, 3.300.000 útépítés)</t>
  </si>
  <si>
    <t>K334 Karbantartási, kisjavítási szolgáltatások (ingatlan-,gép-,berendezés karbantartás, parkgondozás, közvil.karbant., karácsonyi díszkiv.le-fel szerelése, út karbantartás, stb., Tájház kőválogatás)</t>
  </si>
  <si>
    <t xml:space="preserve">Útépítés (Pipacs utca - nem önerős) </t>
  </si>
  <si>
    <t>B25 Egyéb felhalmozási célú támogatások bevételei államháztartáson belülről (BFT pály. 15.000.000, Vis Maior Fő u. 11.522.000)</t>
  </si>
  <si>
    <t>HÉSZ</t>
  </si>
  <si>
    <t>1 fő rend.szerv.</t>
  </si>
  <si>
    <t>1 fő takarító</t>
  </si>
  <si>
    <t>1 fő rend.szerv. Megbízással</t>
  </si>
  <si>
    <t>1 fő szakács</t>
  </si>
  <si>
    <t>Éves korr. Létszám 5 fő</t>
  </si>
  <si>
    <t>1 polgármester</t>
  </si>
</sst>
</file>

<file path=xl/styles.xml><?xml version="1.0" encoding="utf-8"?>
<styleSheet xmlns="http://schemas.openxmlformats.org/spreadsheetml/2006/main">
  <numFmts count="4">
    <numFmt numFmtId="41" formatCode="_-* #,##0\ _F_t_-;\-* #,##0\ _F_t_-;_-* &quot;-&quot;\ _F_t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\ _F_t_-;\-* #,##0\ _F_t_-;_-* \-??\ _F_t_-;_-@_-"/>
  </numFmts>
  <fonts count="3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12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 CE"/>
    </font>
    <font>
      <sz val="10"/>
      <color indexed="8"/>
      <name val="MS Sans Serif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theme="3" tint="-0.249977111117893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2"/>
      <color indexed="8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2BF5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0">
    <xf numFmtId="0" fontId="0" fillId="0" borderId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4" fillId="0" borderId="0"/>
    <xf numFmtId="0" fontId="17" fillId="0" borderId="0"/>
    <xf numFmtId="0" fontId="13" fillId="0" borderId="0"/>
    <xf numFmtId="0" fontId="12" fillId="0" borderId="0"/>
    <xf numFmtId="9" fontId="1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3" fillId="2" borderId="1" xfId="0" applyFont="1" applyFill="1" applyBorder="1"/>
    <xf numFmtId="0" fontId="3" fillId="0" borderId="1" xfId="0" applyFont="1" applyBorder="1"/>
    <xf numFmtId="0" fontId="8" fillId="0" borderId="1" xfId="2" applyFont="1" applyFill="1" applyBorder="1" applyAlignment="1" applyProtection="1"/>
    <xf numFmtId="0" fontId="8" fillId="0" borderId="1" xfId="2" applyFont="1" applyBorder="1" applyAlignment="1" applyProtection="1"/>
    <xf numFmtId="0" fontId="3" fillId="3" borderId="1" xfId="0" applyFont="1" applyFill="1" applyBorder="1"/>
    <xf numFmtId="0" fontId="9" fillId="4" borderId="1" xfId="0" applyFont="1" applyFill="1" applyBorder="1"/>
    <xf numFmtId="0" fontId="11" fillId="2" borderId="1" xfId="0" applyFont="1" applyFill="1" applyBorder="1"/>
    <xf numFmtId="0" fontId="3" fillId="5" borderId="1" xfId="0" applyFont="1" applyFill="1" applyBorder="1"/>
    <xf numFmtId="0" fontId="3" fillId="6" borderId="1" xfId="0" applyFont="1" applyFill="1" applyBorder="1"/>
    <xf numFmtId="0" fontId="10" fillId="7" borderId="1" xfId="0" applyFont="1" applyFill="1" applyBorder="1"/>
    <xf numFmtId="0" fontId="11" fillId="7" borderId="1" xfId="0" applyFont="1" applyFill="1" applyBorder="1"/>
    <xf numFmtId="3" fontId="6" fillId="8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3" fontId="3" fillId="8" borderId="1" xfId="0" applyNumberFormat="1" applyFont="1" applyFill="1" applyBorder="1"/>
    <xf numFmtId="0" fontId="0" fillId="0" borderId="0" xfId="0" applyFill="1"/>
    <xf numFmtId="0" fontId="5" fillId="0" borderId="0" xfId="0" applyFont="1" applyFill="1" applyAlignment="1">
      <alignment horizontal="right"/>
    </xf>
    <xf numFmtId="3" fontId="3" fillId="0" borderId="1" xfId="0" applyNumberFormat="1" applyFont="1" applyFill="1" applyBorder="1"/>
    <xf numFmtId="3" fontId="4" fillId="0" borderId="1" xfId="0" applyNumberFormat="1" applyFont="1" applyFill="1" applyBorder="1"/>
    <xf numFmtId="3" fontId="8" fillId="0" borderId="1" xfId="0" applyNumberFormat="1" applyFont="1" applyFill="1" applyBorder="1"/>
    <xf numFmtId="3" fontId="10" fillId="0" borderId="1" xfId="0" applyNumberFormat="1" applyFont="1" applyFill="1" applyBorder="1"/>
    <xf numFmtId="3" fontId="11" fillId="0" borderId="1" xfId="0" applyNumberFormat="1" applyFont="1" applyFill="1" applyBorder="1"/>
    <xf numFmtId="3" fontId="5" fillId="0" borderId="1" xfId="0" applyNumberFormat="1" applyFont="1" applyFill="1" applyBorder="1"/>
    <xf numFmtId="0" fontId="4" fillId="0" borderId="1" xfId="0" applyFont="1" applyFill="1" applyBorder="1"/>
    <xf numFmtId="3" fontId="0" fillId="0" borderId="0" xfId="0" applyNumberFormat="1" applyFill="1"/>
    <xf numFmtId="0" fontId="10" fillId="9" borderId="1" xfId="0" applyFont="1" applyFill="1" applyBorder="1"/>
    <xf numFmtId="3" fontId="5" fillId="9" borderId="1" xfId="0" applyNumberFormat="1" applyFont="1" applyFill="1" applyBorder="1"/>
    <xf numFmtId="0" fontId="2" fillId="0" borderId="0" xfId="0" applyFont="1" applyFill="1"/>
    <xf numFmtId="0" fontId="0" fillId="0" borderId="0" xfId="0" applyFill="1" applyAlignment="1">
      <alignment wrapText="1"/>
    </xf>
    <xf numFmtId="0" fontId="3" fillId="10" borderId="1" xfId="0" applyFont="1" applyFill="1" applyBorder="1" applyAlignment="1">
      <alignment horizontal="center" vertical="center"/>
    </xf>
    <xf numFmtId="3" fontId="6" fillId="10" borderId="1" xfId="0" applyNumberFormat="1" applyFont="1" applyFill="1" applyBorder="1" applyAlignment="1">
      <alignment horizontal="center" vertical="center" wrapText="1"/>
    </xf>
    <xf numFmtId="41" fontId="4" fillId="0" borderId="1" xfId="1" applyFont="1" applyFill="1" applyBorder="1"/>
    <xf numFmtId="0" fontId="10" fillId="11" borderId="1" xfId="0" applyFont="1" applyFill="1" applyBorder="1"/>
    <xf numFmtId="3" fontId="5" fillId="11" borderId="1" xfId="0" applyNumberFormat="1" applyFont="1" applyFill="1" applyBorder="1"/>
    <xf numFmtId="0" fontId="3" fillId="0" borderId="0" xfId="0" applyFont="1" applyAlignment="1">
      <alignment horizont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8" fillId="0" borderId="1" xfId="2" applyFont="1" applyFill="1" applyBorder="1" applyAlignment="1" applyProtection="1">
      <alignment wrapText="1"/>
    </xf>
    <xf numFmtId="0" fontId="8" fillId="0" borderId="1" xfId="2" applyFont="1" applyBorder="1" applyAlignment="1" applyProtection="1">
      <alignment wrapText="1"/>
    </xf>
    <xf numFmtId="0" fontId="3" fillId="3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5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10" fillId="7" borderId="1" xfId="0" applyFont="1" applyFill="1" applyBorder="1" applyAlignment="1">
      <alignment wrapText="1"/>
    </xf>
    <xf numFmtId="0" fontId="10" fillId="11" borderId="1" xfId="0" applyFont="1" applyFill="1" applyBorder="1" applyAlignment="1">
      <alignment wrapText="1"/>
    </xf>
    <xf numFmtId="0" fontId="11" fillId="7" borderId="1" xfId="0" applyFont="1" applyFill="1" applyBorder="1" applyAlignment="1">
      <alignment wrapText="1"/>
    </xf>
    <xf numFmtId="0" fontId="2" fillId="0" borderId="0" xfId="0" applyFont="1"/>
    <xf numFmtId="3" fontId="20" fillId="12" borderId="2" xfId="0" applyNumberFormat="1" applyFont="1" applyFill="1" applyBorder="1" applyAlignment="1">
      <alignment horizontal="center" vertical="top" wrapText="1"/>
    </xf>
    <xf numFmtId="3" fontId="6" fillId="12" borderId="2" xfId="0" applyNumberFormat="1" applyFont="1" applyFill="1" applyBorder="1" applyAlignment="1">
      <alignment horizontal="center" vertical="top" wrapText="1"/>
    </xf>
    <xf numFmtId="0" fontId="22" fillId="0" borderId="0" xfId="0" applyFont="1"/>
    <xf numFmtId="0" fontId="4" fillId="4" borderId="1" xfId="0" applyFont="1" applyFill="1" applyBorder="1" applyAlignment="1">
      <alignment wrapText="1"/>
    </xf>
    <xf numFmtId="0" fontId="23" fillId="0" borderId="0" xfId="0" applyFont="1"/>
    <xf numFmtId="0" fontId="3" fillId="7" borderId="1" xfId="0" applyFont="1" applyFill="1" applyBorder="1" applyAlignment="1">
      <alignment wrapText="1"/>
    </xf>
    <xf numFmtId="3" fontId="24" fillId="0" borderId="1" xfId="0" applyNumberFormat="1" applyFont="1" applyFill="1" applyBorder="1"/>
    <xf numFmtId="0" fontId="25" fillId="0" borderId="1" xfId="0" applyFont="1" applyBorder="1" applyAlignment="1">
      <alignment wrapText="1"/>
    </xf>
    <xf numFmtId="3" fontId="25" fillId="8" borderId="1" xfId="0" applyNumberFormat="1" applyFont="1" applyFill="1" applyBorder="1"/>
    <xf numFmtId="3" fontId="25" fillId="0" borderId="1" xfId="0" applyNumberFormat="1" applyFont="1" applyFill="1" applyBorder="1"/>
    <xf numFmtId="0" fontId="26" fillId="0" borderId="0" xfId="0" applyFont="1"/>
    <xf numFmtId="164" fontId="4" fillId="0" borderId="1" xfId="39" applyNumberFormat="1" applyFont="1" applyFill="1" applyBorder="1"/>
    <xf numFmtId="3" fontId="4" fillId="11" borderId="1" xfId="0" applyNumberFormat="1" applyFont="1" applyFill="1" applyBorder="1"/>
    <xf numFmtId="3" fontId="2" fillId="11" borderId="0" xfId="0" applyNumberFormat="1" applyFont="1" applyFill="1"/>
    <xf numFmtId="0" fontId="28" fillId="0" borderId="0" xfId="0" applyFont="1" applyAlignment="1">
      <alignment wrapText="1"/>
    </xf>
    <xf numFmtId="0" fontId="29" fillId="0" borderId="0" xfId="0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0" fontId="27" fillId="0" borderId="2" xfId="0" applyFont="1" applyBorder="1" applyAlignment="1">
      <alignment wrapText="1"/>
    </xf>
    <xf numFmtId="3" fontId="27" fillId="0" borderId="2" xfId="0" applyNumberFormat="1" applyFont="1" applyBorder="1" applyAlignment="1">
      <alignment wrapText="1"/>
    </xf>
    <xf numFmtId="3" fontId="27" fillId="8" borderId="2" xfId="0" applyNumberFormat="1" applyFont="1" applyFill="1" applyBorder="1"/>
    <xf numFmtId="3" fontId="27" fillId="13" borderId="2" xfId="0" applyNumberFormat="1" applyFont="1" applyFill="1" applyBorder="1"/>
    <xf numFmtId="3" fontId="27" fillId="0" borderId="2" xfId="0" applyNumberFormat="1" applyFont="1" applyBorder="1"/>
    <xf numFmtId="3" fontId="27" fillId="14" borderId="2" xfId="0" applyNumberFormat="1" applyFont="1" applyFill="1" applyBorder="1"/>
    <xf numFmtId="0" fontId="27" fillId="0" borderId="0" xfId="0" applyFont="1" applyFill="1" applyBorder="1" applyAlignment="1">
      <alignment wrapText="1"/>
    </xf>
    <xf numFmtId="0" fontId="28" fillId="0" borderId="0" xfId="0" applyFont="1"/>
    <xf numFmtId="0" fontId="31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32" fillId="0" borderId="2" xfId="0" applyFont="1" applyBorder="1"/>
    <xf numFmtId="0" fontId="32" fillId="0" borderId="2" xfId="0" applyFont="1" applyBorder="1" applyAlignment="1">
      <alignment wrapText="1"/>
    </xf>
    <xf numFmtId="3" fontId="3" fillId="11" borderId="1" xfId="0" applyNumberFormat="1" applyFont="1" applyFill="1" applyBorder="1"/>
    <xf numFmtId="165" fontId="19" fillId="0" borderId="0" xfId="39" applyNumberFormat="1" applyFont="1" applyFill="1" applyBorder="1" applyAlignment="1" applyProtection="1"/>
    <xf numFmtId="165" fontId="33" fillId="0" borderId="0" xfId="0" applyNumberFormat="1" applyFont="1" applyAlignment="1" applyProtection="1">
      <alignment wrapText="1"/>
      <protection locked="0"/>
    </xf>
    <xf numFmtId="165" fontId="34" fillId="0" borderId="3" xfId="39" applyNumberFormat="1" applyFont="1" applyFill="1" applyBorder="1" applyAlignment="1" applyProtection="1"/>
    <xf numFmtId="165" fontId="34" fillId="0" borderId="4" xfId="39" applyNumberFormat="1" applyFont="1" applyFill="1" applyBorder="1" applyAlignment="1" applyProtection="1"/>
    <xf numFmtId="165" fontId="34" fillId="0" borderId="1" xfId="39" applyNumberFormat="1" applyFont="1" applyFill="1" applyBorder="1" applyAlignment="1" applyProtection="1"/>
    <xf numFmtId="0" fontId="35" fillId="0" borderId="0" xfId="0" applyFont="1" applyAlignment="1">
      <alignment wrapText="1"/>
    </xf>
    <xf numFmtId="0" fontId="35" fillId="0" borderId="0" xfId="0" applyFont="1"/>
    <xf numFmtId="3" fontId="35" fillId="0" borderId="0" xfId="0" applyNumberFormat="1" applyFont="1"/>
    <xf numFmtId="3" fontId="3" fillId="15" borderId="1" xfId="0" applyNumberFormat="1" applyFont="1" applyFill="1" applyBorder="1"/>
    <xf numFmtId="0" fontId="0" fillId="0" borderId="0" xfId="0" applyAlignment="1">
      <alignment horizontal="center" vertical="center"/>
    </xf>
    <xf numFmtId="0" fontId="0" fillId="0" borderId="1" xfId="0" applyBorder="1"/>
    <xf numFmtId="0" fontId="30" fillId="11" borderId="0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>
      <alignment wrapText="1"/>
    </xf>
    <xf numFmtId="3" fontId="4" fillId="15" borderId="1" xfId="0" applyNumberFormat="1" applyFont="1" applyFill="1" applyBorder="1"/>
    <xf numFmtId="0" fontId="4" fillId="15" borderId="1" xfId="0" applyFont="1" applyFill="1" applyBorder="1" applyAlignment="1">
      <alignment wrapText="1"/>
    </xf>
    <xf numFmtId="3" fontId="4" fillId="16" borderId="1" xfId="0" applyNumberFormat="1" applyFont="1" applyFill="1" applyBorder="1"/>
    <xf numFmtId="3" fontId="4" fillId="17" borderId="1" xfId="0" applyNumberFormat="1" applyFont="1" applyFill="1" applyBorder="1"/>
    <xf numFmtId="3" fontId="36" fillId="18" borderId="1" xfId="0" applyNumberFormat="1" applyFont="1" applyFill="1" applyBorder="1"/>
    <xf numFmtId="3" fontId="4" fillId="8" borderId="1" xfId="0" applyNumberFormat="1" applyFont="1" applyFill="1" applyBorder="1"/>
    <xf numFmtId="3" fontId="35" fillId="8" borderId="0" xfId="0" applyNumberFormat="1" applyFont="1" applyFill="1"/>
    <xf numFmtId="3" fontId="27" fillId="8" borderId="2" xfId="0" applyNumberFormat="1" applyFont="1" applyFill="1" applyBorder="1" applyAlignment="1">
      <alignment wrapText="1"/>
    </xf>
    <xf numFmtId="0" fontId="0" fillId="0" borderId="2" xfId="0" applyBorder="1" applyAlignment="1">
      <alignment horizontal="center"/>
    </xf>
    <xf numFmtId="0" fontId="31" fillId="0" borderId="5" xfId="0" applyFont="1" applyFill="1" applyBorder="1" applyAlignment="1">
      <alignment wrapText="1"/>
    </xf>
    <xf numFmtId="164" fontId="31" fillId="0" borderId="6" xfId="39" applyNumberFormat="1" applyFont="1" applyFill="1" applyBorder="1"/>
    <xf numFmtId="164" fontId="13" fillId="0" borderId="6" xfId="39" applyNumberFormat="1" applyFont="1" applyBorder="1"/>
    <xf numFmtId="0" fontId="31" fillId="0" borderId="7" xfId="0" applyFont="1" applyFill="1" applyBorder="1" applyAlignment="1">
      <alignment wrapText="1"/>
    </xf>
    <xf numFmtId="164" fontId="31" fillId="0" borderId="8" xfId="39" applyNumberFormat="1" applyFont="1" applyFill="1" applyBorder="1"/>
    <xf numFmtId="164" fontId="0" fillId="0" borderId="0" xfId="39" applyNumberFormat="1" applyFont="1"/>
    <xf numFmtId="164" fontId="2" fillId="0" borderId="0" xfId="39" applyNumberFormat="1" applyFont="1"/>
    <xf numFmtId="164" fontId="0" fillId="0" borderId="0" xfId="0" applyNumberFormat="1"/>
    <xf numFmtId="164" fontId="0" fillId="0" borderId="0" xfId="39" applyNumberFormat="1" applyFont="1" applyAlignment="1">
      <alignment horizontal="center" vertical="center"/>
    </xf>
    <xf numFmtId="164" fontId="2" fillId="0" borderId="0" xfId="39" applyNumberFormat="1" applyFont="1" applyAlignment="1">
      <alignment horizontal="center" vertical="center"/>
    </xf>
    <xf numFmtId="164" fontId="35" fillId="0" borderId="0" xfId="0" applyNumberFormat="1" applyFont="1"/>
    <xf numFmtId="164" fontId="38" fillId="0" borderId="0" xfId="0" applyNumberFormat="1" applyFont="1"/>
    <xf numFmtId="164" fontId="35" fillId="17" borderId="0" xfId="0" applyNumberFormat="1" applyFont="1" applyFill="1"/>
    <xf numFmtId="0" fontId="31" fillId="17" borderId="1" xfId="0" applyFont="1" applyFill="1" applyBorder="1" applyAlignment="1">
      <alignment horizontal="center" wrapText="1"/>
    </xf>
    <xf numFmtId="165" fontId="0" fillId="0" borderId="0" xfId="0" applyNumberFormat="1"/>
    <xf numFmtId="0" fontId="31" fillId="0" borderId="9" xfId="0" applyFont="1" applyFill="1" applyBorder="1" applyAlignment="1">
      <alignment horizontal="center" wrapText="1"/>
    </xf>
    <xf numFmtId="0" fontId="32" fillId="17" borderId="2" xfId="0" applyFont="1" applyFill="1" applyBorder="1" applyAlignment="1">
      <alignment wrapText="1"/>
    </xf>
    <xf numFmtId="165" fontId="34" fillId="17" borderId="3" xfId="39" applyNumberFormat="1" applyFont="1" applyFill="1" applyBorder="1" applyAlignment="1" applyProtection="1"/>
    <xf numFmtId="165" fontId="34" fillId="17" borderId="4" xfId="39" applyNumberFormat="1" applyFont="1" applyFill="1" applyBorder="1" applyAlignment="1" applyProtection="1"/>
    <xf numFmtId="165" fontId="34" fillId="17" borderId="1" xfId="39" applyNumberFormat="1" applyFont="1" applyFill="1" applyBorder="1" applyAlignment="1" applyProtection="1"/>
    <xf numFmtId="0" fontId="32" fillId="0" borderId="2" xfId="0" applyFont="1" applyFill="1" applyBorder="1" applyAlignment="1">
      <alignment wrapText="1"/>
    </xf>
    <xf numFmtId="164" fontId="35" fillId="0" borderId="0" xfId="39" applyNumberFormat="1" applyFont="1"/>
    <xf numFmtId="164" fontId="31" fillId="16" borderId="8" xfId="39" applyNumberFormat="1" applyFont="1" applyFill="1" applyBorder="1"/>
    <xf numFmtId="0" fontId="0" fillId="0" borderId="0" xfId="0" applyAlignment="1">
      <alignment horizontal="left"/>
    </xf>
  </cellXfs>
  <cellStyles count="40">
    <cellStyle name="Ezres" xfId="39" builtinId="3"/>
    <cellStyle name="Ezres [0]" xfId="1" builtinId="6"/>
    <cellStyle name="Ezres 2 10" xfId="3"/>
    <cellStyle name="Ezres 2 11" xfId="4"/>
    <cellStyle name="Ezres 2 12" xfId="5"/>
    <cellStyle name="Ezres 2 2" xfId="6"/>
    <cellStyle name="Ezres 2 3" xfId="7"/>
    <cellStyle name="Ezres 2 4" xfId="8"/>
    <cellStyle name="Ezres 2 5" xfId="9"/>
    <cellStyle name="Ezres 2 6" xfId="10"/>
    <cellStyle name="Ezres 2 7" xfId="11"/>
    <cellStyle name="Ezres 2 8" xfId="12"/>
    <cellStyle name="Ezres 2 9" xfId="13"/>
    <cellStyle name="Hivatkozás" xfId="2" builtinId="8"/>
    <cellStyle name="Normál" xfId="0" builtinId="0"/>
    <cellStyle name="Normál 11" xfId="14"/>
    <cellStyle name="Normál 13" xfId="15"/>
    <cellStyle name="Normál 14" xfId="16"/>
    <cellStyle name="Normál 2" xfId="17"/>
    <cellStyle name="Normál 2 10" xfId="18"/>
    <cellStyle name="Normál 2 11" xfId="19"/>
    <cellStyle name="Normál 2 12" xfId="20"/>
    <cellStyle name="Normál 2 2" xfId="21"/>
    <cellStyle name="Normál 2 3" xfId="22"/>
    <cellStyle name="Normál 2 4" xfId="23"/>
    <cellStyle name="Normál 2 5" xfId="24"/>
    <cellStyle name="Normál 2 6" xfId="25"/>
    <cellStyle name="Normál 2 7" xfId="26"/>
    <cellStyle name="Normál 2 8" xfId="27"/>
    <cellStyle name="Normál 2 9" xfId="28"/>
    <cellStyle name="Normál 3" xfId="29"/>
    <cellStyle name="Normál 3 2" xfId="30"/>
    <cellStyle name="Normál 3_7 számú melléklet" xfId="31"/>
    <cellStyle name="Normál 4" xfId="32"/>
    <cellStyle name="Normál 4 2" xfId="33"/>
    <cellStyle name="Normál 5" xfId="34"/>
    <cellStyle name="Normál 6" xfId="35"/>
    <cellStyle name="Normál 8" xfId="36"/>
    <cellStyle name="Normal_KTRSZJ" xfId="37"/>
    <cellStyle name="Százalék 6" xfId="3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penzugy/Documents/K&#246;lts&#233;gvet&#233;s%202017.%20LOVAS/2017.K&#246;lts&#233;gvet&#233;s%20t&#225;bl&#225;zata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adás-bevétel"/>
      <sheetName val="1 számú melléklet"/>
      <sheetName val="2 melléklet"/>
      <sheetName val="3 számú melléklet"/>
      <sheetName val="4 számú melléklet"/>
      <sheetName val="5 számú melléklet"/>
      <sheetName val="6 számú melléklet"/>
      <sheetName val="7 számú melléklet"/>
      <sheetName val="8 számú melléklet"/>
      <sheetName val="9 számú melléklet"/>
      <sheetName val="10 számú melléklet"/>
      <sheetName val="11 számú melléklet"/>
      <sheetName val="12 számú melléklet"/>
      <sheetName val="13 számú melléklet"/>
    </sheetNames>
    <sheetDataSet>
      <sheetData sheetId="0" refreshError="1"/>
      <sheetData sheetId="1" refreshError="1">
        <row r="8">
          <cell r="F8">
            <v>5534000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70">
          <cell r="F70">
            <v>0</v>
          </cell>
        </row>
        <row r="75">
          <cell r="F75">
            <v>0</v>
          </cell>
        </row>
        <row r="78">
          <cell r="F78">
            <v>0</v>
          </cell>
        </row>
        <row r="79">
          <cell r="F79">
            <v>0</v>
          </cell>
        </row>
        <row r="82">
          <cell r="F82">
            <v>0</v>
          </cell>
        </row>
        <row r="83">
          <cell r="F83">
            <v>0</v>
          </cell>
        </row>
      </sheetData>
      <sheetData sheetId="2" refreshError="1">
        <row r="6">
          <cell r="F6">
            <v>15535858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2">
          <cell r="F32">
            <v>0</v>
          </cell>
        </row>
        <row r="33">
          <cell r="F33">
            <v>0</v>
          </cell>
        </row>
        <row r="39">
          <cell r="F39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7">
          <cell r="F77">
            <v>0</v>
          </cell>
        </row>
        <row r="78">
          <cell r="F78">
            <v>0</v>
          </cell>
        </row>
        <row r="80">
          <cell r="F80">
            <v>0</v>
          </cell>
        </row>
        <row r="81">
          <cell r="F81">
            <v>0</v>
          </cell>
        </row>
        <row r="83">
          <cell r="F83">
            <v>0</v>
          </cell>
        </row>
        <row r="84">
          <cell r="F84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pten.hu/loadpage.php?dest=OISZ&amp;twhich=214774&amp;srcid=ol4366" TargetMode="External"/><Relationship Id="rId1" Type="http://schemas.openxmlformats.org/officeDocument/2006/relationships/hyperlink" Target="http://www.opten.hu/loadpage.ph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pten.hu/loadpage.php?dest=OISZ&amp;twhich=214774&amp;srcid=ol4366" TargetMode="External"/><Relationship Id="rId2" Type="http://schemas.openxmlformats.org/officeDocument/2006/relationships/hyperlink" Target="http://www.opten.hu/loadpage.php" TargetMode="External"/><Relationship Id="rId1" Type="http://schemas.openxmlformats.org/officeDocument/2006/relationships/hyperlink" Target="http://www.opten.hu/loadpage.php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opten.hu/loadpage.ph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opten.hu/loadpage.php?dest=OISZ&amp;twhich=214774&amp;srcid=ol4366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opten.hu/loadpage.php?dest=OISZ&amp;twhich=214774&amp;srcid=ol4366" TargetMode="External"/><Relationship Id="rId1" Type="http://schemas.openxmlformats.org/officeDocument/2006/relationships/hyperlink" Target="http://www.opten.hu/loadpage.php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5"/>
  <sheetViews>
    <sheetView view="pageBreakPreview" zoomScale="70" zoomScaleNormal="60" zoomScaleSheetLayoutView="70" workbookViewId="0">
      <pane ySplit="4" topLeftCell="A8" activePane="bottomLeft" state="frozen"/>
      <selection pane="bottomLeft" activeCell="C22" sqref="C22"/>
    </sheetView>
  </sheetViews>
  <sheetFormatPr defaultRowHeight="15"/>
  <cols>
    <col min="1" max="1" width="3.28515625" customWidth="1"/>
    <col min="2" max="2" width="42.7109375" style="48" customWidth="1"/>
    <col min="3" max="3" width="19.42578125" customWidth="1"/>
    <col min="4" max="4" width="16.85546875" customWidth="1"/>
    <col min="5" max="5" width="18.140625" customWidth="1"/>
    <col min="6" max="6" width="18.28515625" customWidth="1"/>
    <col min="7" max="7" width="18.42578125" customWidth="1"/>
    <col min="8" max="8" width="13.42578125" customWidth="1"/>
    <col min="9" max="9" width="9.42578125" bestFit="1" customWidth="1"/>
    <col min="10" max="10" width="12.5703125" bestFit="1" customWidth="1"/>
    <col min="11" max="11" width="12.28515625" customWidth="1"/>
    <col min="12" max="12" width="13" customWidth="1"/>
    <col min="13" max="13" width="13.28515625" customWidth="1"/>
    <col min="14" max="14" width="11.28515625" bestFit="1" customWidth="1"/>
    <col min="15" max="16" width="13.85546875" customWidth="1"/>
    <col min="17" max="17" width="12.5703125" bestFit="1" customWidth="1"/>
    <col min="18" max="18" width="13.42578125" customWidth="1"/>
    <col min="19" max="19" width="9.42578125" bestFit="1" customWidth="1"/>
    <col min="20" max="20" width="13.140625" customWidth="1"/>
    <col min="21" max="23" width="12.5703125" bestFit="1" customWidth="1"/>
  </cols>
  <sheetData>
    <row r="1" spans="2:23" ht="15.75">
      <c r="B1" s="39"/>
    </row>
    <row r="2" spans="2:23" ht="47.25">
      <c r="B2" s="39" t="s">
        <v>322</v>
      </c>
    </row>
    <row r="3" spans="2:23">
      <c r="C3" s="2" t="s">
        <v>0</v>
      </c>
    </row>
    <row r="4" spans="2:23" s="57" customFormat="1" ht="114.75">
      <c r="B4" s="40" t="s">
        <v>1</v>
      </c>
      <c r="C4" s="35" t="s">
        <v>325</v>
      </c>
      <c r="D4" s="55" t="s">
        <v>260</v>
      </c>
      <c r="E4" s="56">
        <v>900020</v>
      </c>
      <c r="F4" s="56" t="s">
        <v>261</v>
      </c>
      <c r="G4" s="55" t="s">
        <v>262</v>
      </c>
      <c r="H4" s="55" t="s">
        <v>263</v>
      </c>
      <c r="I4" s="56" t="s">
        <v>264</v>
      </c>
      <c r="J4" s="56" t="s">
        <v>265</v>
      </c>
      <c r="K4" s="56" t="s">
        <v>367</v>
      </c>
      <c r="L4" s="56" t="s">
        <v>266</v>
      </c>
      <c r="M4" s="56" t="s">
        <v>267</v>
      </c>
      <c r="N4" s="56" t="s">
        <v>268</v>
      </c>
      <c r="O4" s="56" t="s">
        <v>269</v>
      </c>
      <c r="P4" s="56" t="s">
        <v>270</v>
      </c>
      <c r="Q4" s="56" t="s">
        <v>271</v>
      </c>
      <c r="R4" s="56" t="s">
        <v>272</v>
      </c>
      <c r="S4" s="56" t="s">
        <v>273</v>
      </c>
      <c r="T4" s="56" t="s">
        <v>274</v>
      </c>
      <c r="U4" s="56" t="s">
        <v>275</v>
      </c>
      <c r="V4" s="56" t="s">
        <v>276</v>
      </c>
      <c r="W4" s="56" t="s">
        <v>277</v>
      </c>
    </row>
    <row r="5" spans="2:23" ht="15.75">
      <c r="B5" s="41" t="s">
        <v>2</v>
      </c>
      <c r="C5" s="19">
        <f>SUM(D5:W5)</f>
        <v>21045666.666666668</v>
      </c>
      <c r="D5" s="22">
        <f>SUM(D6:D16)</f>
        <v>0</v>
      </c>
      <c r="E5" s="22">
        <f t="shared" ref="E5" si="0">SUM(E6:E16)</f>
        <v>0</v>
      </c>
      <c r="F5" s="22">
        <f t="shared" ref="F5:J5" si="1">SUM(F6:F16)</f>
        <v>0</v>
      </c>
      <c r="G5" s="22">
        <f t="shared" si="1"/>
        <v>0</v>
      </c>
      <c r="H5" s="22">
        <f t="shared" si="1"/>
        <v>0</v>
      </c>
      <c r="I5" s="22">
        <f t="shared" si="1"/>
        <v>0</v>
      </c>
      <c r="J5" s="22">
        <f t="shared" si="1"/>
        <v>0</v>
      </c>
      <c r="K5" s="22">
        <f t="shared" ref="K5:U5" si="2">SUM(K6:K16)</f>
        <v>0</v>
      </c>
      <c r="L5" s="22">
        <f t="shared" si="2"/>
        <v>6456000</v>
      </c>
      <c r="M5" s="22">
        <f t="shared" si="2"/>
        <v>0</v>
      </c>
      <c r="N5" s="22">
        <f t="shared" si="2"/>
        <v>3052000</v>
      </c>
      <c r="O5" s="22">
        <f t="shared" si="2"/>
        <v>8786000</v>
      </c>
      <c r="P5" s="22">
        <f t="shared" si="2"/>
        <v>0</v>
      </c>
      <c r="Q5" s="22">
        <f t="shared" si="2"/>
        <v>0</v>
      </c>
      <c r="R5" s="22">
        <f t="shared" si="2"/>
        <v>0</v>
      </c>
      <c r="S5" s="22">
        <f t="shared" si="2"/>
        <v>0</v>
      </c>
      <c r="T5" s="22">
        <f t="shared" si="2"/>
        <v>0</v>
      </c>
      <c r="U5" s="22">
        <f t="shared" si="2"/>
        <v>2751666.6666666665</v>
      </c>
      <c r="V5" s="22">
        <f t="shared" ref="V5:W5" si="3">SUM(V6:V16)</f>
        <v>0</v>
      </c>
      <c r="W5" s="22">
        <f t="shared" si="3"/>
        <v>0</v>
      </c>
    </row>
    <row r="6" spans="2:23" ht="31.5">
      <c r="B6" s="5" t="s">
        <v>3</v>
      </c>
      <c r="C6" s="19">
        <f t="shared" ref="C6:C69" si="4">SUM(D6:W6)</f>
        <v>19049000</v>
      </c>
      <c r="D6" s="23"/>
      <c r="E6" s="23"/>
      <c r="F6" s="23"/>
      <c r="G6" s="23"/>
      <c r="H6" s="23"/>
      <c r="I6" s="23"/>
      <c r="J6" s="23"/>
      <c r="K6" s="23"/>
      <c r="L6" s="23">
        <f>512000*12</f>
        <v>6144000</v>
      </c>
      <c r="M6" s="23"/>
      <c r="N6" s="23">
        <f>200000*12*1.1</f>
        <v>2640000</v>
      </c>
      <c r="O6" s="23">
        <f>220000*2*12+200000*12</f>
        <v>7680000</v>
      </c>
      <c r="P6" s="23"/>
      <c r="Q6" s="23"/>
      <c r="R6" s="23"/>
      <c r="S6" s="23"/>
      <c r="T6" s="23"/>
      <c r="U6" s="23">
        <f>258500*10</f>
        <v>2585000</v>
      </c>
      <c r="V6" s="23"/>
      <c r="W6" s="23"/>
    </row>
    <row r="7" spans="2:23" ht="15.75">
      <c r="B7" s="5" t="s">
        <v>4</v>
      </c>
      <c r="C7" s="19">
        <f t="shared" si="4"/>
        <v>300000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>
        <v>100000</v>
      </c>
      <c r="O7" s="23">
        <v>200000</v>
      </c>
      <c r="P7" s="23"/>
      <c r="Q7" s="23"/>
      <c r="R7" s="23"/>
      <c r="S7" s="23"/>
      <c r="T7" s="23"/>
      <c r="U7" s="23"/>
      <c r="V7" s="23"/>
      <c r="W7" s="23"/>
    </row>
    <row r="8" spans="2:23" ht="15.75">
      <c r="B8" s="5" t="s">
        <v>5</v>
      </c>
      <c r="C8" s="19">
        <f t="shared" si="4"/>
        <v>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2:23" ht="15.75">
      <c r="B9" s="5" t="s">
        <v>6</v>
      </c>
      <c r="C9" s="19">
        <f t="shared" si="4"/>
        <v>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2:23" ht="15.75">
      <c r="B10" s="5" t="s">
        <v>7</v>
      </c>
      <c r="C10" s="19">
        <f t="shared" si="4"/>
        <v>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2:23" ht="15.75">
      <c r="B11" s="5" t="s">
        <v>8</v>
      </c>
      <c r="C11" s="19">
        <f t="shared" si="4"/>
        <v>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2:23" ht="15.75">
      <c r="B12" s="5" t="s">
        <v>9</v>
      </c>
      <c r="C12" s="19">
        <f t="shared" si="4"/>
        <v>70000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>
        <v>70000</v>
      </c>
      <c r="P12" s="23"/>
      <c r="Q12" s="23"/>
      <c r="R12" s="23"/>
      <c r="S12" s="23"/>
      <c r="T12" s="23"/>
      <c r="U12" s="23"/>
      <c r="V12" s="23"/>
      <c r="W12" s="23"/>
    </row>
    <row r="13" spans="2:23" ht="15.75">
      <c r="B13" s="5" t="s">
        <v>10</v>
      </c>
      <c r="C13" s="19">
        <f t="shared" si="4"/>
        <v>60000</v>
      </c>
      <c r="D13" s="23"/>
      <c r="E13" s="23"/>
      <c r="F13" s="23"/>
      <c r="G13" s="23"/>
      <c r="H13" s="23"/>
      <c r="I13" s="23"/>
      <c r="J13" s="23"/>
      <c r="K13" s="23"/>
      <c r="L13" s="23">
        <v>12000</v>
      </c>
      <c r="M13" s="23"/>
      <c r="N13" s="23">
        <v>12000</v>
      </c>
      <c r="O13" s="23">
        <v>36000</v>
      </c>
      <c r="P13" s="23"/>
      <c r="Q13" s="23"/>
      <c r="R13" s="23"/>
      <c r="S13" s="23"/>
      <c r="T13" s="23"/>
      <c r="U13" s="23"/>
      <c r="V13" s="23"/>
      <c r="W13" s="23"/>
    </row>
    <row r="14" spans="2:23" ht="15.75">
      <c r="B14" s="5" t="s">
        <v>11</v>
      </c>
      <c r="C14" s="19">
        <f t="shared" si="4"/>
        <v>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2:23" ht="15.75">
      <c r="B15" s="5" t="s">
        <v>12</v>
      </c>
      <c r="C15" s="19">
        <f t="shared" si="4"/>
        <v>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2:23" ht="31.5">
      <c r="B16" s="5" t="s">
        <v>13</v>
      </c>
      <c r="C16" s="19">
        <f t="shared" si="4"/>
        <v>1566666.6666666667</v>
      </c>
      <c r="D16" s="23"/>
      <c r="E16" s="23"/>
      <c r="F16" s="23"/>
      <c r="G16" s="23"/>
      <c r="H16" s="23"/>
      <c r="I16" s="23"/>
      <c r="J16" s="23"/>
      <c r="K16" s="23"/>
      <c r="L16" s="23">
        <v>300000</v>
      </c>
      <c r="M16" s="23"/>
      <c r="N16" s="23">
        <v>300000</v>
      </c>
      <c r="O16" s="23">
        <v>800000</v>
      </c>
      <c r="P16" s="23"/>
      <c r="Q16" s="23"/>
      <c r="R16" s="23"/>
      <c r="S16" s="23"/>
      <c r="T16" s="23"/>
      <c r="U16" s="23">
        <f>200000/12*10</f>
        <v>166666.66666666669</v>
      </c>
      <c r="V16" s="23"/>
      <c r="W16" s="23"/>
    </row>
    <row r="17" spans="2:23" ht="15.75">
      <c r="B17" s="41" t="s">
        <v>14</v>
      </c>
      <c r="C17" s="19">
        <f t="shared" si="4"/>
        <v>28755600</v>
      </c>
      <c r="D17" s="22">
        <f t="shared" ref="D17:F17" si="5">D18+D19+D20</f>
        <v>20275600</v>
      </c>
      <c r="E17" s="22">
        <f t="shared" si="5"/>
        <v>0</v>
      </c>
      <c r="F17" s="22">
        <f t="shared" si="5"/>
        <v>0</v>
      </c>
      <c r="G17" s="22">
        <f t="shared" ref="G17:J17" si="6">G18+G19+G20</f>
        <v>0</v>
      </c>
      <c r="H17" s="22">
        <f t="shared" si="6"/>
        <v>0</v>
      </c>
      <c r="I17" s="22">
        <f t="shared" si="6"/>
        <v>0</v>
      </c>
      <c r="J17" s="22">
        <f t="shared" si="6"/>
        <v>0</v>
      </c>
      <c r="K17" s="22">
        <f t="shared" ref="K17:U17" si="7">K18+K19+K20</f>
        <v>0</v>
      </c>
      <c r="L17" s="22">
        <f t="shared" si="7"/>
        <v>0</v>
      </c>
      <c r="M17" s="22">
        <f t="shared" si="7"/>
        <v>0</v>
      </c>
      <c r="N17" s="22">
        <f t="shared" si="7"/>
        <v>0</v>
      </c>
      <c r="O17" s="22">
        <f t="shared" si="7"/>
        <v>3480000</v>
      </c>
      <c r="P17" s="22">
        <f t="shared" si="7"/>
        <v>0</v>
      </c>
      <c r="Q17" s="22">
        <f t="shared" si="7"/>
        <v>0</v>
      </c>
      <c r="R17" s="22">
        <f t="shared" si="7"/>
        <v>5000000</v>
      </c>
      <c r="S17" s="22">
        <f t="shared" si="7"/>
        <v>0</v>
      </c>
      <c r="T17" s="22">
        <f t="shared" si="7"/>
        <v>0</v>
      </c>
      <c r="U17" s="22">
        <f t="shared" si="7"/>
        <v>0</v>
      </c>
      <c r="V17" s="22">
        <f t="shared" ref="V17:W17" si="8">V18+V19+V20</f>
        <v>0</v>
      </c>
      <c r="W17" s="22">
        <f t="shared" si="8"/>
        <v>0</v>
      </c>
    </row>
    <row r="18" spans="2:23" ht="15.75">
      <c r="B18" s="5" t="s">
        <v>15</v>
      </c>
      <c r="C18" s="19">
        <f t="shared" si="4"/>
        <v>14235600</v>
      </c>
      <c r="D18" s="23">
        <f>69000*5*12+612000*12+229300*12</f>
        <v>14235600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2:23" ht="48.2" customHeight="1">
      <c r="B19" s="5" t="s">
        <v>16</v>
      </c>
      <c r="C19" s="19">
        <f t="shared" si="4"/>
        <v>8220000</v>
      </c>
      <c r="D19" s="23">
        <f>45000*12+1000000+500000+3000000</f>
        <v>5040000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>
        <f>25000*12+240000*12</f>
        <v>3180000</v>
      </c>
      <c r="P19" s="23"/>
      <c r="Q19" s="23"/>
      <c r="R19" s="23"/>
      <c r="S19" s="23"/>
      <c r="T19" s="23"/>
      <c r="U19" s="23"/>
      <c r="V19" s="23"/>
      <c r="W19" s="23"/>
    </row>
    <row r="20" spans="2:23" ht="15.75">
      <c r="B20" s="5" t="s">
        <v>17</v>
      </c>
      <c r="C20" s="19">
        <f t="shared" si="4"/>
        <v>6300000</v>
      </c>
      <c r="D20" s="23">
        <v>1000000</v>
      </c>
      <c r="E20" s="23"/>
      <c r="F20" s="23">
        <v>0</v>
      </c>
      <c r="G20" s="23"/>
      <c r="H20" s="23"/>
      <c r="I20" s="23"/>
      <c r="J20" s="23"/>
      <c r="K20" s="23"/>
      <c r="L20" s="23"/>
      <c r="M20" s="23"/>
      <c r="N20" s="23"/>
      <c r="O20" s="23">
        <v>300000</v>
      </c>
      <c r="P20" s="23"/>
      <c r="Q20" s="23"/>
      <c r="R20" s="23">
        <v>5000000</v>
      </c>
      <c r="S20" s="23"/>
      <c r="T20" s="23"/>
      <c r="U20" s="23"/>
      <c r="V20" s="23"/>
      <c r="W20" s="23"/>
    </row>
    <row r="21" spans="2:23" ht="15.75">
      <c r="B21" s="42" t="s">
        <v>18</v>
      </c>
      <c r="C21" s="19">
        <f t="shared" si="4"/>
        <v>49801266.666666664</v>
      </c>
      <c r="D21" s="22">
        <f>D5+D17</f>
        <v>20275600</v>
      </c>
      <c r="E21" s="22">
        <f t="shared" ref="E21" si="9">E5+E17</f>
        <v>0</v>
      </c>
      <c r="F21" s="22">
        <f>F5+F17</f>
        <v>0</v>
      </c>
      <c r="G21" s="22">
        <f t="shared" ref="G21:J21" si="10">G5+G17</f>
        <v>0</v>
      </c>
      <c r="H21" s="22">
        <f>H5+H17</f>
        <v>0</v>
      </c>
      <c r="I21" s="22">
        <f t="shared" si="10"/>
        <v>0</v>
      </c>
      <c r="J21" s="22">
        <f t="shared" si="10"/>
        <v>0</v>
      </c>
      <c r="K21" s="22">
        <f t="shared" ref="K21:U21" si="11">K5+K17</f>
        <v>0</v>
      </c>
      <c r="L21" s="22">
        <f t="shared" si="11"/>
        <v>6456000</v>
      </c>
      <c r="M21" s="22">
        <f t="shared" si="11"/>
        <v>0</v>
      </c>
      <c r="N21" s="22">
        <f t="shared" si="11"/>
        <v>3052000</v>
      </c>
      <c r="O21" s="22">
        <f t="shared" si="11"/>
        <v>12266000</v>
      </c>
      <c r="P21" s="22">
        <f t="shared" si="11"/>
        <v>0</v>
      </c>
      <c r="Q21" s="22">
        <f t="shared" si="11"/>
        <v>0</v>
      </c>
      <c r="R21" s="22">
        <f t="shared" si="11"/>
        <v>5000000</v>
      </c>
      <c r="S21" s="22">
        <f t="shared" si="11"/>
        <v>0</v>
      </c>
      <c r="T21" s="22">
        <f t="shared" si="11"/>
        <v>0</v>
      </c>
      <c r="U21" s="22">
        <f t="shared" si="11"/>
        <v>2751666.6666666665</v>
      </c>
      <c r="V21" s="22">
        <f t="shared" ref="V21:W21" si="12">V5+V17</f>
        <v>0</v>
      </c>
      <c r="W21" s="22">
        <f t="shared" si="12"/>
        <v>0</v>
      </c>
    </row>
    <row r="22" spans="2:23" ht="31.5">
      <c r="B22" s="42" t="s">
        <v>19</v>
      </c>
      <c r="C22" s="19">
        <f t="shared" si="4"/>
        <v>9895221.666666666</v>
      </c>
      <c r="D22" s="22">
        <f>D23+D24+D25</f>
        <v>3698230</v>
      </c>
      <c r="E22" s="22">
        <f t="shared" ref="E22" si="13">E23+E24+E25</f>
        <v>0</v>
      </c>
      <c r="F22" s="22">
        <f t="shared" ref="F22:J22" si="14">F23+F24+F25</f>
        <v>0</v>
      </c>
      <c r="G22" s="22">
        <f t="shared" si="14"/>
        <v>0</v>
      </c>
      <c r="H22" s="22">
        <f t="shared" si="14"/>
        <v>0</v>
      </c>
      <c r="I22" s="22">
        <f t="shared" si="14"/>
        <v>0</v>
      </c>
      <c r="J22" s="22">
        <f t="shared" si="14"/>
        <v>0</v>
      </c>
      <c r="K22" s="22">
        <f t="shared" ref="K22:U22" si="15">K23+K24+K25</f>
        <v>0</v>
      </c>
      <c r="L22" s="22">
        <f t="shared" si="15"/>
        <v>1174800</v>
      </c>
      <c r="M22" s="22">
        <f t="shared" si="15"/>
        <v>0</v>
      </c>
      <c r="N22" s="22">
        <f t="shared" si="15"/>
        <v>579100</v>
      </c>
      <c r="O22" s="22">
        <f t="shared" si="15"/>
        <v>2311550</v>
      </c>
      <c r="P22" s="22">
        <f t="shared" si="15"/>
        <v>0</v>
      </c>
      <c r="Q22" s="22">
        <f t="shared" si="15"/>
        <v>0</v>
      </c>
      <c r="R22" s="22">
        <f t="shared" si="15"/>
        <v>1625000</v>
      </c>
      <c r="S22" s="22">
        <f t="shared" si="15"/>
        <v>0</v>
      </c>
      <c r="T22" s="22">
        <f t="shared" si="15"/>
        <v>0</v>
      </c>
      <c r="U22" s="22">
        <f t="shared" si="15"/>
        <v>506541.66666666663</v>
      </c>
      <c r="V22" s="22">
        <f t="shared" ref="V22:W22" si="16">V23+V24+V25</f>
        <v>0</v>
      </c>
      <c r="W22" s="22">
        <f t="shared" si="16"/>
        <v>0</v>
      </c>
    </row>
    <row r="23" spans="2:23" ht="15.75">
      <c r="B23" s="43" t="s">
        <v>205</v>
      </c>
      <c r="C23" s="19">
        <f t="shared" si="4"/>
        <v>8715221.666666666</v>
      </c>
      <c r="D23" s="23">
        <f>D21*0.175</f>
        <v>3548230</v>
      </c>
      <c r="E23" s="23">
        <f t="shared" ref="E23:W23" si="17">E21*0.175</f>
        <v>0</v>
      </c>
      <c r="F23" s="23">
        <f t="shared" si="17"/>
        <v>0</v>
      </c>
      <c r="G23" s="23">
        <f t="shared" si="17"/>
        <v>0</v>
      </c>
      <c r="H23" s="23">
        <f t="shared" si="17"/>
        <v>0</v>
      </c>
      <c r="I23" s="23">
        <f t="shared" si="17"/>
        <v>0</v>
      </c>
      <c r="J23" s="23">
        <f t="shared" si="17"/>
        <v>0</v>
      </c>
      <c r="K23" s="23">
        <f t="shared" si="17"/>
        <v>0</v>
      </c>
      <c r="L23" s="23">
        <f t="shared" si="17"/>
        <v>1129800</v>
      </c>
      <c r="M23" s="23">
        <f t="shared" si="17"/>
        <v>0</v>
      </c>
      <c r="N23" s="23">
        <f t="shared" si="17"/>
        <v>534100</v>
      </c>
      <c r="O23" s="23">
        <f t="shared" si="17"/>
        <v>2146550</v>
      </c>
      <c r="P23" s="23">
        <f t="shared" si="17"/>
        <v>0</v>
      </c>
      <c r="Q23" s="23">
        <f t="shared" si="17"/>
        <v>0</v>
      </c>
      <c r="R23" s="23">
        <f t="shared" si="17"/>
        <v>875000</v>
      </c>
      <c r="S23" s="23">
        <f t="shared" si="17"/>
        <v>0</v>
      </c>
      <c r="T23" s="23">
        <f t="shared" si="17"/>
        <v>0</v>
      </c>
      <c r="U23" s="23">
        <f t="shared" si="17"/>
        <v>481541.66666666663</v>
      </c>
      <c r="V23" s="23">
        <f t="shared" si="17"/>
        <v>0</v>
      </c>
      <c r="W23" s="23">
        <f t="shared" si="17"/>
        <v>0</v>
      </c>
    </row>
    <row r="24" spans="2:23" ht="15.75">
      <c r="B24" s="43" t="s">
        <v>206</v>
      </c>
      <c r="C24" s="19">
        <f t="shared" si="4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2:23" ht="15.75">
      <c r="B25" s="43" t="s">
        <v>207</v>
      </c>
      <c r="C25" s="19">
        <f t="shared" si="4"/>
        <v>1180000</v>
      </c>
      <c r="D25" s="23">
        <f>D20*0.15</f>
        <v>150000</v>
      </c>
      <c r="E25" s="23">
        <f t="shared" ref="E25:W25" si="18">E20*0.15</f>
        <v>0</v>
      </c>
      <c r="F25" s="23">
        <f t="shared" si="18"/>
        <v>0</v>
      </c>
      <c r="G25" s="23">
        <f t="shared" si="18"/>
        <v>0</v>
      </c>
      <c r="H25" s="23">
        <f t="shared" si="18"/>
        <v>0</v>
      </c>
      <c r="I25" s="23">
        <f t="shared" si="18"/>
        <v>0</v>
      </c>
      <c r="J25" s="23">
        <f t="shared" si="18"/>
        <v>0</v>
      </c>
      <c r="K25" s="23">
        <f t="shared" si="18"/>
        <v>0</v>
      </c>
      <c r="L25" s="23">
        <f>(L16+L20)*0.15</f>
        <v>45000</v>
      </c>
      <c r="M25" s="23">
        <f t="shared" ref="M25:U25" si="19">(M16+M20)*0.15</f>
        <v>0</v>
      </c>
      <c r="N25" s="23">
        <f t="shared" si="19"/>
        <v>45000</v>
      </c>
      <c r="O25" s="23">
        <f t="shared" si="19"/>
        <v>165000</v>
      </c>
      <c r="P25" s="23">
        <f t="shared" si="19"/>
        <v>0</v>
      </c>
      <c r="Q25" s="23">
        <f t="shared" si="19"/>
        <v>0</v>
      </c>
      <c r="R25" s="23">
        <f t="shared" si="19"/>
        <v>750000</v>
      </c>
      <c r="S25" s="23">
        <f t="shared" si="19"/>
        <v>0</v>
      </c>
      <c r="T25" s="23">
        <f t="shared" si="19"/>
        <v>0</v>
      </c>
      <c r="U25" s="23">
        <f t="shared" si="19"/>
        <v>25000.000000000004</v>
      </c>
      <c r="V25" s="23">
        <f t="shared" si="18"/>
        <v>0</v>
      </c>
      <c r="W25" s="23">
        <f t="shared" si="18"/>
        <v>0</v>
      </c>
    </row>
    <row r="26" spans="2:23" ht="15.75">
      <c r="B26" s="41" t="s">
        <v>20</v>
      </c>
      <c r="C26" s="19">
        <f t="shared" si="4"/>
        <v>10000000</v>
      </c>
      <c r="D26" s="22">
        <f t="shared" ref="D26:J26" si="20">D27+D28+D31</f>
        <v>8000000</v>
      </c>
      <c r="E26" s="22">
        <f t="shared" si="20"/>
        <v>0</v>
      </c>
      <c r="F26" s="22">
        <f t="shared" si="20"/>
        <v>0</v>
      </c>
      <c r="G26" s="22"/>
      <c r="H26" s="22"/>
      <c r="I26" s="22">
        <f t="shared" si="20"/>
        <v>0</v>
      </c>
      <c r="J26" s="22">
        <f t="shared" si="20"/>
        <v>0</v>
      </c>
      <c r="K26" s="22">
        <f t="shared" ref="K26" si="21">K27+K28+K31</f>
        <v>100000</v>
      </c>
      <c r="L26" s="22">
        <f t="shared" ref="L26" si="22">L27+L28+L31</f>
        <v>200000</v>
      </c>
      <c r="M26" s="22">
        <f t="shared" ref="M26" si="23">M27+M28+M31</f>
        <v>0</v>
      </c>
      <c r="N26" s="22">
        <f t="shared" ref="N26" si="24">N27+N28+N31</f>
        <v>200000</v>
      </c>
      <c r="O26" s="22">
        <f t="shared" ref="O26" si="25">O27+O28+O31</f>
        <v>1000000</v>
      </c>
      <c r="P26" s="22">
        <f t="shared" ref="P26" si="26">P27+P28+P31</f>
        <v>0</v>
      </c>
      <c r="Q26" s="22">
        <f t="shared" ref="Q26" si="27">Q27+Q28+Q31</f>
        <v>0</v>
      </c>
      <c r="R26" s="22">
        <f t="shared" ref="R26" si="28">R27+R28+R31</f>
        <v>500000</v>
      </c>
      <c r="S26" s="22">
        <f t="shared" ref="S26" si="29">S27+S28+S31</f>
        <v>0</v>
      </c>
      <c r="T26" s="22">
        <f t="shared" ref="T26" si="30">T27+T28+T31</f>
        <v>0</v>
      </c>
      <c r="U26" s="22">
        <f t="shared" ref="U26:V26" si="31">U27+U28+U31</f>
        <v>0</v>
      </c>
      <c r="V26" s="22">
        <f t="shared" si="31"/>
        <v>0</v>
      </c>
      <c r="W26" s="22">
        <f t="shared" ref="W26" si="32">W27+W28+W31</f>
        <v>0</v>
      </c>
    </row>
    <row r="27" spans="2:23" ht="15.75">
      <c r="B27" s="5" t="s">
        <v>21</v>
      </c>
      <c r="C27" s="19">
        <f t="shared" si="4"/>
        <v>0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2:23" ht="15.75">
      <c r="B28" s="5" t="s">
        <v>221</v>
      </c>
      <c r="C28" s="19">
        <f t="shared" si="4"/>
        <v>10000000</v>
      </c>
      <c r="D28" s="22">
        <f t="shared" ref="D28:J28" si="33">SUM(D29:D30)</f>
        <v>8000000</v>
      </c>
      <c r="E28" s="22">
        <f t="shared" ref="E28" si="34">SUM(E29:E30)</f>
        <v>0</v>
      </c>
      <c r="F28" s="22">
        <f t="shared" si="33"/>
        <v>0</v>
      </c>
      <c r="G28" s="22"/>
      <c r="H28" s="22"/>
      <c r="I28" s="22">
        <f t="shared" si="33"/>
        <v>0</v>
      </c>
      <c r="J28" s="22">
        <f t="shared" si="33"/>
        <v>0</v>
      </c>
      <c r="K28" s="22">
        <f t="shared" ref="K28" si="35">SUM(K29:K30)</f>
        <v>100000</v>
      </c>
      <c r="L28" s="22">
        <f t="shared" ref="L28" si="36">SUM(L29:L30)</f>
        <v>200000</v>
      </c>
      <c r="M28" s="22">
        <f t="shared" ref="M28" si="37">SUM(M29:M30)</f>
        <v>0</v>
      </c>
      <c r="N28" s="22">
        <f t="shared" ref="N28" si="38">SUM(N29:N30)</f>
        <v>200000</v>
      </c>
      <c r="O28" s="22">
        <f t="shared" ref="O28" si="39">SUM(O29:O30)</f>
        <v>1000000</v>
      </c>
      <c r="P28" s="22">
        <f t="shared" ref="P28" si="40">SUM(P29:P30)</f>
        <v>0</v>
      </c>
      <c r="Q28" s="22">
        <f t="shared" ref="Q28" si="41">SUM(Q29:Q30)</f>
        <v>0</v>
      </c>
      <c r="R28" s="22">
        <f t="shared" ref="R28" si="42">SUM(R29:R30)</f>
        <v>500000</v>
      </c>
      <c r="S28" s="22">
        <f t="shared" ref="S28" si="43">SUM(S29:S30)</f>
        <v>0</v>
      </c>
      <c r="T28" s="22">
        <f t="shared" ref="T28" si="44">SUM(T29:T30)</f>
        <v>0</v>
      </c>
      <c r="U28" s="22">
        <f t="shared" ref="U28:V28" si="45">SUM(U29:U30)</f>
        <v>0</v>
      </c>
      <c r="V28" s="22">
        <f t="shared" si="45"/>
        <v>0</v>
      </c>
      <c r="W28" s="22">
        <f t="shared" ref="W28" si="46">SUM(W29:W30)</f>
        <v>0</v>
      </c>
    </row>
    <row r="29" spans="2:23" ht="15.75">
      <c r="B29" s="5" t="s">
        <v>220</v>
      </c>
      <c r="C29" s="19">
        <f t="shared" si="4"/>
        <v>0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</row>
    <row r="30" spans="2:23" ht="47.25">
      <c r="B30" s="5" t="s">
        <v>240</v>
      </c>
      <c r="C30" s="19">
        <f t="shared" si="4"/>
        <v>10000000</v>
      </c>
      <c r="D30" s="23">
        <v>8000000</v>
      </c>
      <c r="E30" s="23"/>
      <c r="F30" s="23"/>
      <c r="G30" s="23"/>
      <c r="H30" s="23"/>
      <c r="I30" s="23"/>
      <c r="J30" s="23"/>
      <c r="K30" s="23">
        <v>100000</v>
      </c>
      <c r="L30" s="23">
        <v>200000</v>
      </c>
      <c r="M30" s="23"/>
      <c r="N30" s="23">
        <v>200000</v>
      </c>
      <c r="O30" s="23">
        <v>1000000</v>
      </c>
      <c r="P30" s="23"/>
      <c r="Q30" s="23"/>
      <c r="R30" s="23">
        <v>500000</v>
      </c>
      <c r="S30" s="23"/>
      <c r="T30" s="23"/>
      <c r="U30" s="23"/>
      <c r="V30" s="23"/>
      <c r="W30" s="23"/>
    </row>
    <row r="31" spans="2:23" ht="15.75">
      <c r="B31" s="5" t="s">
        <v>22</v>
      </c>
      <c r="C31" s="19">
        <f t="shared" si="4"/>
        <v>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spans="2:23" ht="15.75">
      <c r="B32" s="41" t="s">
        <v>23</v>
      </c>
      <c r="C32" s="19">
        <f t="shared" si="4"/>
        <v>700000</v>
      </c>
      <c r="D32" s="22">
        <f>D33+D34</f>
        <v>400000</v>
      </c>
      <c r="E32" s="22">
        <f t="shared" ref="E32" si="47">E33+E34</f>
        <v>0</v>
      </c>
      <c r="F32" s="22">
        <f>F33+F34</f>
        <v>0</v>
      </c>
      <c r="G32" s="22">
        <f t="shared" ref="G32:J32" si="48">G33+G34</f>
        <v>0</v>
      </c>
      <c r="H32" s="22">
        <f>H33+H34</f>
        <v>0</v>
      </c>
      <c r="I32" s="22">
        <f t="shared" si="48"/>
        <v>0</v>
      </c>
      <c r="J32" s="22">
        <f t="shared" si="48"/>
        <v>0</v>
      </c>
      <c r="K32" s="22">
        <f t="shared" ref="K32:U32" si="49">K33+K34</f>
        <v>0</v>
      </c>
      <c r="L32" s="22">
        <f t="shared" si="49"/>
        <v>100000</v>
      </c>
      <c r="M32" s="22">
        <f t="shared" si="49"/>
        <v>0</v>
      </c>
      <c r="N32" s="22">
        <f t="shared" si="49"/>
        <v>0</v>
      </c>
      <c r="O32" s="22">
        <f t="shared" si="49"/>
        <v>200000</v>
      </c>
      <c r="P32" s="22">
        <f t="shared" si="49"/>
        <v>0</v>
      </c>
      <c r="Q32" s="22">
        <f t="shared" si="49"/>
        <v>0</v>
      </c>
      <c r="R32" s="22">
        <f t="shared" si="49"/>
        <v>0</v>
      </c>
      <c r="S32" s="22">
        <f t="shared" si="49"/>
        <v>0</v>
      </c>
      <c r="T32" s="22">
        <f t="shared" si="49"/>
        <v>0</v>
      </c>
      <c r="U32" s="22">
        <f t="shared" si="49"/>
        <v>0</v>
      </c>
      <c r="V32" s="22">
        <f t="shared" ref="V32:W32" si="50">V33+V34</f>
        <v>0</v>
      </c>
      <c r="W32" s="22">
        <f t="shared" si="50"/>
        <v>0</v>
      </c>
    </row>
    <row r="33" spans="2:23" ht="31.5">
      <c r="B33" s="5" t="s">
        <v>24</v>
      </c>
      <c r="C33" s="19">
        <f t="shared" si="4"/>
        <v>0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2:23" ht="31.5">
      <c r="B34" s="5" t="s">
        <v>208</v>
      </c>
      <c r="C34" s="19">
        <f t="shared" si="4"/>
        <v>700000</v>
      </c>
      <c r="D34" s="23">
        <v>400000</v>
      </c>
      <c r="E34" s="23"/>
      <c r="F34" s="23"/>
      <c r="G34" s="23"/>
      <c r="H34" s="23"/>
      <c r="I34" s="23"/>
      <c r="J34" s="23"/>
      <c r="K34" s="23"/>
      <c r="L34" s="23">
        <v>100000</v>
      </c>
      <c r="M34" s="23"/>
      <c r="N34" s="23"/>
      <c r="O34" s="23">
        <v>200000</v>
      </c>
      <c r="P34" s="23"/>
      <c r="Q34" s="23"/>
      <c r="R34" s="23"/>
      <c r="S34" s="23"/>
      <c r="T34" s="23"/>
      <c r="U34" s="23"/>
      <c r="V34" s="23"/>
      <c r="W34" s="23"/>
    </row>
    <row r="35" spans="2:23" ht="15.75">
      <c r="B35" s="41" t="s">
        <v>25</v>
      </c>
      <c r="C35" s="19">
        <f t="shared" si="4"/>
        <v>37192583</v>
      </c>
      <c r="D35" s="22">
        <f>SUM(D37:D45)</f>
        <v>10800000</v>
      </c>
      <c r="E35" s="22">
        <f t="shared" ref="E35:W35" si="51">SUM(E37:E45)</f>
        <v>0</v>
      </c>
      <c r="F35" s="22">
        <f t="shared" si="51"/>
        <v>9438583</v>
      </c>
      <c r="G35" s="22">
        <f t="shared" si="51"/>
        <v>0</v>
      </c>
      <c r="H35" s="22">
        <f t="shared" si="51"/>
        <v>0</v>
      </c>
      <c r="I35" s="22">
        <f t="shared" si="51"/>
        <v>0</v>
      </c>
      <c r="J35" s="22">
        <f t="shared" si="51"/>
        <v>0</v>
      </c>
      <c r="K35" s="22">
        <f t="shared" si="51"/>
        <v>1254000</v>
      </c>
      <c r="L35" s="22">
        <f t="shared" si="51"/>
        <v>0</v>
      </c>
      <c r="M35" s="22">
        <f t="shared" si="51"/>
        <v>0</v>
      </c>
      <c r="N35" s="22">
        <f t="shared" si="51"/>
        <v>0</v>
      </c>
      <c r="O35" s="22">
        <f t="shared" si="51"/>
        <v>6700000</v>
      </c>
      <c r="P35" s="22">
        <f t="shared" si="51"/>
        <v>0</v>
      </c>
      <c r="Q35" s="22">
        <f t="shared" si="51"/>
        <v>0</v>
      </c>
      <c r="R35" s="22">
        <f t="shared" si="51"/>
        <v>9000000</v>
      </c>
      <c r="S35" s="22">
        <f t="shared" si="51"/>
        <v>0</v>
      </c>
      <c r="T35" s="22">
        <f t="shared" si="51"/>
        <v>0</v>
      </c>
      <c r="U35" s="22">
        <f t="shared" si="51"/>
        <v>0</v>
      </c>
      <c r="V35" s="22">
        <f t="shared" si="51"/>
        <v>0</v>
      </c>
      <c r="W35" s="22">
        <f t="shared" si="51"/>
        <v>0</v>
      </c>
    </row>
    <row r="36" spans="2:23" ht="15.75">
      <c r="B36" s="5" t="s">
        <v>26</v>
      </c>
      <c r="C36" s="19">
        <f t="shared" si="4"/>
        <v>4800000</v>
      </c>
      <c r="D36" s="22">
        <f>D37+D38+D39</f>
        <v>700000</v>
      </c>
      <c r="E36" s="22">
        <f t="shared" ref="E36" si="52">E37+E38+E39</f>
        <v>0</v>
      </c>
      <c r="F36" s="22">
        <f t="shared" ref="F36:G36" si="53">F37+F38+F39</f>
        <v>100000</v>
      </c>
      <c r="G36" s="22">
        <f t="shared" si="53"/>
        <v>0</v>
      </c>
      <c r="H36" s="22">
        <f>H37+H38+H39</f>
        <v>0</v>
      </c>
      <c r="I36" s="22">
        <f t="shared" ref="I36:J36" si="54">I37+I38+I39</f>
        <v>0</v>
      </c>
      <c r="J36" s="22">
        <f t="shared" si="54"/>
        <v>0</v>
      </c>
      <c r="K36" s="22">
        <f t="shared" ref="K36:U36" si="55">K37+K38+K39</f>
        <v>0</v>
      </c>
      <c r="L36" s="22">
        <f t="shared" si="55"/>
        <v>0</v>
      </c>
      <c r="M36" s="22">
        <f t="shared" si="55"/>
        <v>0</v>
      </c>
      <c r="N36" s="22">
        <f t="shared" si="55"/>
        <v>0</v>
      </c>
      <c r="O36" s="22">
        <f t="shared" si="55"/>
        <v>4000000</v>
      </c>
      <c r="P36" s="22">
        <f t="shared" si="55"/>
        <v>0</v>
      </c>
      <c r="Q36" s="22">
        <f t="shared" si="55"/>
        <v>0</v>
      </c>
      <c r="R36" s="22">
        <f t="shared" si="55"/>
        <v>0</v>
      </c>
      <c r="S36" s="22">
        <f t="shared" si="55"/>
        <v>0</v>
      </c>
      <c r="T36" s="22">
        <f t="shared" si="55"/>
        <v>0</v>
      </c>
      <c r="U36" s="22">
        <f t="shared" si="55"/>
        <v>0</v>
      </c>
      <c r="V36" s="22">
        <f t="shared" ref="V36:W36" si="56">V37+V38+V39</f>
        <v>0</v>
      </c>
      <c r="W36" s="22">
        <f t="shared" si="56"/>
        <v>0</v>
      </c>
    </row>
    <row r="37" spans="2:23" ht="15.75">
      <c r="B37" s="5" t="s">
        <v>223</v>
      </c>
      <c r="C37" s="19">
        <f t="shared" si="4"/>
        <v>1550000</v>
      </c>
      <c r="D37" s="23">
        <v>500000</v>
      </c>
      <c r="E37" s="23"/>
      <c r="F37" s="23">
        <v>50000</v>
      </c>
      <c r="G37" s="23"/>
      <c r="H37" s="23"/>
      <c r="I37" s="23"/>
      <c r="J37" s="23"/>
      <c r="K37" s="23"/>
      <c r="L37" s="23"/>
      <c r="M37" s="23"/>
      <c r="N37" s="23"/>
      <c r="O37" s="23">
        <v>1000000</v>
      </c>
      <c r="P37" s="23"/>
      <c r="Q37" s="23"/>
      <c r="R37" s="23"/>
      <c r="S37" s="23"/>
      <c r="T37" s="23"/>
      <c r="U37" s="23"/>
      <c r="V37" s="23"/>
      <c r="W37" s="23"/>
    </row>
    <row r="38" spans="2:23" ht="15.75">
      <c r="B38" s="5" t="s">
        <v>224</v>
      </c>
      <c r="C38" s="19">
        <f t="shared" si="4"/>
        <v>2500000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>
        <v>2500000</v>
      </c>
      <c r="P38" s="23"/>
      <c r="Q38" s="23"/>
      <c r="R38" s="23"/>
      <c r="S38" s="23"/>
      <c r="T38" s="23"/>
      <c r="U38" s="23"/>
      <c r="V38" s="23"/>
      <c r="W38" s="23"/>
    </row>
    <row r="39" spans="2:23" ht="15.75">
      <c r="B39" s="5" t="s">
        <v>225</v>
      </c>
      <c r="C39" s="19">
        <f t="shared" si="4"/>
        <v>750000</v>
      </c>
      <c r="D39" s="23">
        <v>200000</v>
      </c>
      <c r="E39" s="23"/>
      <c r="F39" s="23">
        <v>50000</v>
      </c>
      <c r="G39" s="23"/>
      <c r="H39" s="23"/>
      <c r="I39" s="23"/>
      <c r="J39" s="23"/>
      <c r="K39" s="23"/>
      <c r="L39" s="23"/>
      <c r="M39" s="23"/>
      <c r="N39" s="23"/>
      <c r="O39" s="23">
        <v>500000</v>
      </c>
      <c r="P39" s="23"/>
      <c r="Q39" s="23"/>
      <c r="R39" s="23"/>
      <c r="S39" s="23"/>
      <c r="T39" s="23"/>
      <c r="U39" s="23"/>
      <c r="V39" s="23"/>
      <c r="W39" s="23"/>
    </row>
    <row r="40" spans="2:23" ht="15.75">
      <c r="B40" s="5" t="s">
        <v>27</v>
      </c>
      <c r="C40" s="19">
        <f t="shared" si="4"/>
        <v>0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>
        <v>0</v>
      </c>
      <c r="W40" s="23"/>
    </row>
    <row r="41" spans="2:23" ht="15.75">
      <c r="B41" s="5" t="s">
        <v>28</v>
      </c>
      <c r="C41" s="19">
        <f t="shared" si="4"/>
        <v>800000</v>
      </c>
      <c r="D41" s="23">
        <v>800000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2:23" ht="99" customHeight="1">
      <c r="B42" s="5" t="s">
        <v>415</v>
      </c>
      <c r="C42" s="19">
        <f t="shared" si="4"/>
        <v>2538583</v>
      </c>
      <c r="D42" s="23">
        <v>500000</v>
      </c>
      <c r="E42" s="23"/>
      <c r="F42" s="23">
        <v>1338583</v>
      </c>
      <c r="G42" s="23"/>
      <c r="H42" s="23"/>
      <c r="I42" s="23"/>
      <c r="J42" s="23"/>
      <c r="K42" s="23"/>
      <c r="L42" s="23"/>
      <c r="M42" s="23"/>
      <c r="N42" s="23"/>
      <c r="O42" s="23">
        <v>700000</v>
      </c>
      <c r="P42" s="23"/>
      <c r="Q42" s="23"/>
      <c r="R42" s="23"/>
      <c r="S42" s="23"/>
      <c r="T42" s="23"/>
      <c r="U42" s="23"/>
      <c r="V42" s="23"/>
      <c r="W42" s="23"/>
    </row>
    <row r="43" spans="2:23" ht="15.75">
      <c r="B43" s="5" t="s">
        <v>30</v>
      </c>
      <c r="C43" s="19">
        <f t="shared" si="4"/>
        <v>0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2:23" ht="63">
      <c r="B44" s="5" t="s">
        <v>369</v>
      </c>
      <c r="C44" s="19">
        <f t="shared" si="4"/>
        <v>6254000</v>
      </c>
      <c r="D44" s="23"/>
      <c r="E44" s="23"/>
      <c r="F44" s="23">
        <f>2000000+3000000</f>
        <v>5000000</v>
      </c>
      <c r="G44" s="23"/>
      <c r="H44" s="23"/>
      <c r="I44" s="23"/>
      <c r="J44" s="23"/>
      <c r="K44" s="23">
        <f>82000*12+67500*4</f>
        <v>1254000</v>
      </c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</row>
    <row r="45" spans="2:23" ht="72" customHeight="1">
      <c r="B45" s="5" t="s">
        <v>368</v>
      </c>
      <c r="C45" s="19">
        <f t="shared" si="4"/>
        <v>22800000</v>
      </c>
      <c r="D45" s="24">
        <f>6800000+2000000</f>
        <v>8800000</v>
      </c>
      <c r="E45" s="24"/>
      <c r="F45" s="24">
        <v>3000000</v>
      </c>
      <c r="G45" s="24"/>
      <c r="H45" s="24"/>
      <c r="I45" s="24"/>
      <c r="J45" s="24"/>
      <c r="K45" s="24"/>
      <c r="L45" s="24"/>
      <c r="M45" s="24"/>
      <c r="N45" s="24"/>
      <c r="O45" s="24">
        <v>2000000</v>
      </c>
      <c r="P45" s="24"/>
      <c r="Q45" s="24"/>
      <c r="R45" s="24">
        <v>9000000</v>
      </c>
      <c r="S45" s="24"/>
      <c r="T45" s="24"/>
      <c r="U45" s="24"/>
      <c r="V45" s="24"/>
      <c r="W45" s="24"/>
    </row>
    <row r="46" spans="2:23" ht="31.5">
      <c r="B46" s="41" t="s">
        <v>32</v>
      </c>
      <c r="C46" s="19">
        <f t="shared" si="4"/>
        <v>5300000</v>
      </c>
      <c r="D46" s="22">
        <f>D47+D48</f>
        <v>1050000</v>
      </c>
      <c r="E46" s="22">
        <f t="shared" ref="E46" si="57">E47+E48</f>
        <v>0</v>
      </c>
      <c r="F46" s="22">
        <f>F47+F48</f>
        <v>0</v>
      </c>
      <c r="G46" s="22">
        <f t="shared" ref="G46:J46" si="58">G47+G48</f>
        <v>0</v>
      </c>
      <c r="H46" s="22">
        <f>H47+H48</f>
        <v>0</v>
      </c>
      <c r="I46" s="22">
        <f t="shared" si="58"/>
        <v>0</v>
      </c>
      <c r="J46" s="22">
        <f t="shared" si="58"/>
        <v>0</v>
      </c>
      <c r="K46" s="22">
        <f t="shared" ref="K46:U46" si="59">K47+K48</f>
        <v>0</v>
      </c>
      <c r="L46" s="22">
        <f t="shared" si="59"/>
        <v>250000</v>
      </c>
      <c r="M46" s="22">
        <f t="shared" si="59"/>
        <v>0</v>
      </c>
      <c r="N46" s="22">
        <f t="shared" si="59"/>
        <v>0</v>
      </c>
      <c r="O46" s="22">
        <f t="shared" si="59"/>
        <v>500000</v>
      </c>
      <c r="P46" s="22">
        <f t="shared" si="59"/>
        <v>0</v>
      </c>
      <c r="Q46" s="22">
        <f t="shared" si="59"/>
        <v>0</v>
      </c>
      <c r="R46" s="22">
        <f t="shared" si="59"/>
        <v>3500000</v>
      </c>
      <c r="S46" s="22">
        <f t="shared" si="59"/>
        <v>0</v>
      </c>
      <c r="T46" s="22">
        <f t="shared" si="59"/>
        <v>0</v>
      </c>
      <c r="U46" s="22">
        <f t="shared" si="59"/>
        <v>0</v>
      </c>
      <c r="V46" s="22">
        <f t="shared" ref="V46:W46" si="60">V47+V48</f>
        <v>0</v>
      </c>
      <c r="W46" s="22">
        <f t="shared" si="60"/>
        <v>0</v>
      </c>
    </row>
    <row r="47" spans="2:23" ht="15.75">
      <c r="B47" s="5" t="s">
        <v>33</v>
      </c>
      <c r="C47" s="19">
        <f t="shared" si="4"/>
        <v>300000</v>
      </c>
      <c r="D47" s="23">
        <v>50000</v>
      </c>
      <c r="E47" s="23"/>
      <c r="F47" s="23"/>
      <c r="G47" s="23"/>
      <c r="H47" s="23"/>
      <c r="I47" s="23"/>
      <c r="J47" s="23"/>
      <c r="K47" s="23"/>
      <c r="L47" s="23">
        <v>250000</v>
      </c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</row>
    <row r="48" spans="2:23" ht="31.5">
      <c r="B48" s="5" t="s">
        <v>310</v>
      </c>
      <c r="C48" s="19">
        <f t="shared" si="4"/>
        <v>5000000</v>
      </c>
      <c r="D48" s="23">
        <v>1000000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>
        <v>500000</v>
      </c>
      <c r="P48" s="23"/>
      <c r="Q48" s="23"/>
      <c r="R48" s="23">
        <v>3500000</v>
      </c>
      <c r="S48" s="23"/>
      <c r="T48" s="23"/>
      <c r="U48" s="23"/>
      <c r="V48" s="23"/>
      <c r="W48" s="23"/>
    </row>
    <row r="49" spans="2:23" ht="31.5">
      <c r="B49" s="41" t="s">
        <v>35</v>
      </c>
      <c r="C49" s="19">
        <f t="shared" si="4"/>
        <v>27620997.41</v>
      </c>
      <c r="D49" s="22">
        <f>D50+D51+D52+D53+D54</f>
        <v>6684000</v>
      </c>
      <c r="E49" s="22">
        <f t="shared" ref="E49:W49" si="61">E50+E51+E52+E53+E54</f>
        <v>0</v>
      </c>
      <c r="F49" s="22">
        <f t="shared" si="61"/>
        <v>15238417.41</v>
      </c>
      <c r="G49" s="22">
        <f t="shared" si="61"/>
        <v>0</v>
      </c>
      <c r="H49" s="22">
        <f t="shared" si="61"/>
        <v>0</v>
      </c>
      <c r="I49" s="22">
        <f t="shared" si="61"/>
        <v>0</v>
      </c>
      <c r="J49" s="22">
        <f t="shared" si="61"/>
        <v>0</v>
      </c>
      <c r="K49" s="22">
        <f t="shared" si="61"/>
        <v>365580</v>
      </c>
      <c r="L49" s="22">
        <f t="shared" si="61"/>
        <v>81000</v>
      </c>
      <c r="M49" s="22">
        <f t="shared" si="61"/>
        <v>0</v>
      </c>
      <c r="N49" s="22">
        <f t="shared" si="61"/>
        <v>54000</v>
      </c>
      <c r="O49" s="22">
        <f t="shared" si="61"/>
        <v>2133000</v>
      </c>
      <c r="P49" s="22">
        <f t="shared" si="61"/>
        <v>0</v>
      </c>
      <c r="Q49" s="22">
        <f t="shared" si="61"/>
        <v>0</v>
      </c>
      <c r="R49" s="22">
        <f t="shared" si="61"/>
        <v>3065000</v>
      </c>
      <c r="S49" s="22">
        <f t="shared" si="61"/>
        <v>0</v>
      </c>
      <c r="T49" s="22">
        <f t="shared" si="61"/>
        <v>0</v>
      </c>
      <c r="U49" s="22">
        <f t="shared" si="61"/>
        <v>0</v>
      </c>
      <c r="V49" s="22">
        <f t="shared" si="61"/>
        <v>0</v>
      </c>
      <c r="W49" s="22">
        <f t="shared" si="61"/>
        <v>0</v>
      </c>
    </row>
    <row r="50" spans="2:23" ht="31.5">
      <c r="B50" s="45" t="s">
        <v>36</v>
      </c>
      <c r="C50" s="19">
        <f t="shared" si="4"/>
        <v>12930997.41</v>
      </c>
      <c r="D50" s="24">
        <f t="shared" ref="D50:W50" si="62">(D35+D32+D26)*0.27</f>
        <v>5184000</v>
      </c>
      <c r="E50" s="24">
        <f t="shared" ref="E50" si="63">(E35+E32+E26)*0.27</f>
        <v>0</v>
      </c>
      <c r="F50" s="24">
        <f t="shared" si="62"/>
        <v>2548417.41</v>
      </c>
      <c r="G50" s="24">
        <f t="shared" si="62"/>
        <v>0</v>
      </c>
      <c r="H50" s="24">
        <f t="shared" si="62"/>
        <v>0</v>
      </c>
      <c r="I50" s="24">
        <f t="shared" si="62"/>
        <v>0</v>
      </c>
      <c r="J50" s="24">
        <f t="shared" si="62"/>
        <v>0</v>
      </c>
      <c r="K50" s="24">
        <f t="shared" si="62"/>
        <v>365580</v>
      </c>
      <c r="L50" s="24">
        <f t="shared" ref="L50:S50" si="64">(L35+L32+L26)*0.27</f>
        <v>81000</v>
      </c>
      <c r="M50" s="24">
        <f t="shared" si="62"/>
        <v>0</v>
      </c>
      <c r="N50" s="24">
        <f t="shared" si="62"/>
        <v>54000</v>
      </c>
      <c r="O50" s="24">
        <f t="shared" si="62"/>
        <v>2133000</v>
      </c>
      <c r="P50" s="24">
        <f t="shared" si="62"/>
        <v>0</v>
      </c>
      <c r="Q50" s="24">
        <f t="shared" si="62"/>
        <v>0</v>
      </c>
      <c r="R50" s="24">
        <f t="shared" si="62"/>
        <v>2565000</v>
      </c>
      <c r="S50" s="24">
        <f t="shared" si="64"/>
        <v>0</v>
      </c>
      <c r="T50" s="24">
        <f t="shared" si="62"/>
        <v>0</v>
      </c>
      <c r="U50" s="24">
        <f t="shared" si="62"/>
        <v>0</v>
      </c>
      <c r="V50" s="24">
        <f t="shared" si="62"/>
        <v>0</v>
      </c>
      <c r="W50" s="24">
        <f t="shared" si="62"/>
        <v>0</v>
      </c>
    </row>
    <row r="51" spans="2:23" ht="15.75">
      <c r="B51" s="5" t="s">
        <v>37</v>
      </c>
      <c r="C51" s="19">
        <f t="shared" si="4"/>
        <v>12690000</v>
      </c>
      <c r="D51" s="23"/>
      <c r="E51" s="23"/>
      <c r="F51" s="100">
        <f>F192*0.27+(F166+F167+F168)*0.27</f>
        <v>12690000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</row>
    <row r="52" spans="2:23" ht="15.75">
      <c r="B52" s="5" t="s">
        <v>38</v>
      </c>
      <c r="C52" s="19">
        <f t="shared" si="4"/>
        <v>0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</row>
    <row r="53" spans="2:23" ht="15.75">
      <c r="B53" s="5" t="s">
        <v>39</v>
      </c>
      <c r="C53" s="19">
        <f t="shared" si="4"/>
        <v>0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</row>
    <row r="54" spans="2:23" ht="31.5">
      <c r="B54" s="5" t="s">
        <v>370</v>
      </c>
      <c r="C54" s="19">
        <f t="shared" si="4"/>
        <v>2000000</v>
      </c>
      <c r="D54" s="23">
        <v>1500000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>
        <v>500000</v>
      </c>
      <c r="S54" s="23"/>
      <c r="T54" s="23"/>
      <c r="U54" s="23"/>
      <c r="V54" s="23"/>
      <c r="W54" s="23"/>
    </row>
    <row r="55" spans="2:23" ht="15.75">
      <c r="B55" s="42" t="s">
        <v>40</v>
      </c>
      <c r="C55" s="19">
        <f t="shared" si="4"/>
        <v>80813580.409999996</v>
      </c>
      <c r="D55" s="22">
        <f>D26+D32+D35+D46+D49</f>
        <v>26934000</v>
      </c>
      <c r="E55" s="22">
        <f t="shared" ref="E55:J55" si="65">E26+E32+E35+E46+E49</f>
        <v>0</v>
      </c>
      <c r="F55" s="22">
        <f t="shared" si="65"/>
        <v>24677000.41</v>
      </c>
      <c r="G55" s="22">
        <f t="shared" si="65"/>
        <v>0</v>
      </c>
      <c r="H55" s="22">
        <f t="shared" si="65"/>
        <v>0</v>
      </c>
      <c r="I55" s="22">
        <f t="shared" si="65"/>
        <v>0</v>
      </c>
      <c r="J55" s="22">
        <f t="shared" si="65"/>
        <v>0</v>
      </c>
      <c r="K55" s="22">
        <f t="shared" ref="K55:U55" si="66">K26+K32+K35+K46+K49</f>
        <v>1719580</v>
      </c>
      <c r="L55" s="22">
        <f t="shared" si="66"/>
        <v>631000</v>
      </c>
      <c r="M55" s="22">
        <f t="shared" si="66"/>
        <v>0</v>
      </c>
      <c r="N55" s="22">
        <f t="shared" si="66"/>
        <v>254000</v>
      </c>
      <c r="O55" s="22">
        <f t="shared" si="66"/>
        <v>10533000</v>
      </c>
      <c r="P55" s="22">
        <f t="shared" si="66"/>
        <v>0</v>
      </c>
      <c r="Q55" s="22">
        <f t="shared" si="66"/>
        <v>0</v>
      </c>
      <c r="R55" s="22">
        <f t="shared" si="66"/>
        <v>16065000</v>
      </c>
      <c r="S55" s="22">
        <f t="shared" si="66"/>
        <v>0</v>
      </c>
      <c r="T55" s="22">
        <f t="shared" si="66"/>
        <v>0</v>
      </c>
      <c r="U55" s="22">
        <f t="shared" si="66"/>
        <v>0</v>
      </c>
      <c r="V55" s="22">
        <f t="shared" ref="V55:W55" si="67">V26+V32+V35+V46+V49</f>
        <v>0</v>
      </c>
      <c r="W55" s="22">
        <f t="shared" si="67"/>
        <v>0</v>
      </c>
    </row>
    <row r="56" spans="2:23" ht="15.75">
      <c r="B56" s="5" t="s">
        <v>41</v>
      </c>
      <c r="C56" s="19">
        <f t="shared" si="4"/>
        <v>0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2:23" ht="15.75">
      <c r="B57" s="5" t="s">
        <v>42</v>
      </c>
      <c r="C57" s="19">
        <f t="shared" si="4"/>
        <v>0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2:23" ht="15.75">
      <c r="B58" s="45" t="s">
        <v>43</v>
      </c>
      <c r="C58" s="19">
        <f t="shared" si="4"/>
        <v>0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</row>
    <row r="59" spans="2:23" ht="31.5">
      <c r="B59" s="5" t="s">
        <v>44</v>
      </c>
      <c r="C59" s="19">
        <f t="shared" si="4"/>
        <v>0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</row>
    <row r="60" spans="2:23" ht="31.5">
      <c r="B60" s="5" t="s">
        <v>45</v>
      </c>
      <c r="C60" s="19">
        <f t="shared" si="4"/>
        <v>0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</row>
    <row r="61" spans="2:23" ht="15.75">
      <c r="B61" s="5" t="s">
        <v>46</v>
      </c>
      <c r="C61" s="19">
        <f t="shared" si="4"/>
        <v>0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</row>
    <row r="62" spans="2:23" ht="15.75">
      <c r="B62" s="5" t="s">
        <v>47</v>
      </c>
      <c r="C62" s="19">
        <f t="shared" si="4"/>
        <v>0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</row>
    <row r="63" spans="2:23" ht="47.25">
      <c r="B63" s="5" t="s">
        <v>278</v>
      </c>
      <c r="C63" s="19">
        <f t="shared" si="4"/>
        <v>4000000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>
        <v>4000000</v>
      </c>
      <c r="U63" s="23"/>
      <c r="V63" s="23"/>
      <c r="W63" s="23"/>
    </row>
    <row r="64" spans="2:23" ht="15.75">
      <c r="B64" s="42" t="s">
        <v>49</v>
      </c>
      <c r="C64" s="19">
        <f t="shared" si="4"/>
        <v>4000000</v>
      </c>
      <c r="D64" s="22">
        <f>SUM(D56:D63)</f>
        <v>0</v>
      </c>
      <c r="E64" s="22">
        <f t="shared" ref="E64" si="68">SUM(E56:E63)</f>
        <v>0</v>
      </c>
      <c r="F64" s="22">
        <f>SUM(F56:F63)</f>
        <v>0</v>
      </c>
      <c r="G64" s="22">
        <f t="shared" ref="G64:J64" si="69">SUM(G56:G63)</f>
        <v>0</v>
      </c>
      <c r="H64" s="22">
        <f>SUM(H56:H63)</f>
        <v>0</v>
      </c>
      <c r="I64" s="22">
        <f t="shared" si="69"/>
        <v>0</v>
      </c>
      <c r="J64" s="22">
        <f t="shared" si="69"/>
        <v>0</v>
      </c>
      <c r="K64" s="22">
        <f t="shared" ref="K64:U64" si="70">SUM(K56:K63)</f>
        <v>0</v>
      </c>
      <c r="L64" s="22">
        <f t="shared" si="70"/>
        <v>0</v>
      </c>
      <c r="M64" s="22">
        <f t="shared" si="70"/>
        <v>0</v>
      </c>
      <c r="N64" s="22">
        <f t="shared" si="70"/>
        <v>0</v>
      </c>
      <c r="O64" s="22">
        <f t="shared" si="70"/>
        <v>0</v>
      </c>
      <c r="P64" s="22">
        <f t="shared" si="70"/>
        <v>0</v>
      </c>
      <c r="Q64" s="22">
        <f t="shared" si="70"/>
        <v>0</v>
      </c>
      <c r="R64" s="22">
        <f t="shared" si="70"/>
        <v>0</v>
      </c>
      <c r="S64" s="22">
        <f t="shared" si="70"/>
        <v>0</v>
      </c>
      <c r="T64" s="22">
        <f t="shared" si="70"/>
        <v>4000000</v>
      </c>
      <c r="U64" s="22">
        <f t="shared" si="70"/>
        <v>0</v>
      </c>
      <c r="V64" s="22">
        <f t="shared" ref="V64:W64" si="71">SUM(V56:V63)</f>
        <v>0</v>
      </c>
      <c r="W64" s="22">
        <f t="shared" si="71"/>
        <v>0</v>
      </c>
    </row>
    <row r="65" spans="2:23" ht="15.75">
      <c r="B65" s="5" t="s">
        <v>50</v>
      </c>
      <c r="C65" s="19">
        <f t="shared" si="4"/>
        <v>0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</row>
    <row r="66" spans="2:23" ht="15.75">
      <c r="B66" s="5" t="s">
        <v>51</v>
      </c>
      <c r="C66" s="19">
        <f t="shared" si="4"/>
        <v>0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</row>
    <row r="67" spans="2:23" ht="47.25">
      <c r="B67" s="5" t="s">
        <v>52</v>
      </c>
      <c r="C67" s="19">
        <f t="shared" si="4"/>
        <v>0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</row>
    <row r="68" spans="2:23" ht="31.5">
      <c r="B68" s="5" t="s">
        <v>53</v>
      </c>
      <c r="C68" s="19">
        <f t="shared" si="4"/>
        <v>0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</row>
    <row r="69" spans="2:23" ht="31.5">
      <c r="B69" s="5" t="s">
        <v>54</v>
      </c>
      <c r="C69" s="19">
        <f t="shared" si="4"/>
        <v>0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</row>
    <row r="70" spans="2:23" ht="47.25">
      <c r="B70" s="5" t="s">
        <v>279</v>
      </c>
      <c r="C70" s="19">
        <f t="shared" ref="C70:C133" si="72">SUM(D70:W70)</f>
        <v>4500000</v>
      </c>
      <c r="D70" s="23"/>
      <c r="E70" s="23"/>
      <c r="F70" s="23"/>
      <c r="G70" s="23"/>
      <c r="H70" s="23">
        <v>4000000</v>
      </c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>
        <v>500000</v>
      </c>
      <c r="T70" s="23"/>
      <c r="U70" s="23"/>
      <c r="V70" s="23"/>
      <c r="W70" s="23"/>
    </row>
    <row r="71" spans="2:23" ht="47.25">
      <c r="B71" s="5" t="s">
        <v>56</v>
      </c>
      <c r="C71" s="19">
        <f t="shared" si="72"/>
        <v>0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</row>
    <row r="72" spans="2:23" ht="31.5">
      <c r="B72" s="5" t="s">
        <v>57</v>
      </c>
      <c r="C72" s="19">
        <f t="shared" si="72"/>
        <v>0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</row>
    <row r="73" spans="2:23" ht="15.75">
      <c r="B73" s="5" t="s">
        <v>58</v>
      </c>
      <c r="C73" s="19">
        <f t="shared" si="72"/>
        <v>0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</row>
    <row r="74" spans="2:23" ht="15.75">
      <c r="B74" s="5" t="s">
        <v>59</v>
      </c>
      <c r="C74" s="19">
        <f t="shared" si="72"/>
        <v>0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</row>
    <row r="75" spans="2:23" ht="84.2" customHeight="1">
      <c r="B75" s="5" t="s">
        <v>366</v>
      </c>
      <c r="C75" s="19">
        <f t="shared" si="72"/>
        <v>75300000</v>
      </c>
      <c r="D75" s="23"/>
      <c r="E75" s="23"/>
      <c r="F75" s="23"/>
      <c r="G75" s="23"/>
      <c r="H75" s="23"/>
      <c r="I75" s="23"/>
      <c r="J75" s="23">
        <v>32000000</v>
      </c>
      <c r="K75" s="23"/>
      <c r="L75" s="23"/>
      <c r="M75" s="23">
        <v>8000000</v>
      </c>
      <c r="N75" s="23"/>
      <c r="O75" s="23"/>
      <c r="P75" s="23">
        <f>3000000+4000000</f>
        <v>7000000</v>
      </c>
      <c r="Q75" s="23">
        <f>22000000+3000000+1500000</f>
        <v>26500000</v>
      </c>
      <c r="R75" s="23">
        <v>1800000</v>
      </c>
      <c r="S75" s="23"/>
      <c r="T75" s="23"/>
      <c r="U75" s="23"/>
      <c r="V75" s="23"/>
      <c r="W75" s="23"/>
    </row>
    <row r="76" spans="2:23" ht="15.75">
      <c r="B76" s="5" t="s">
        <v>280</v>
      </c>
      <c r="C76" s="19">
        <f t="shared" si="72"/>
        <v>36530867</v>
      </c>
      <c r="D76" s="23"/>
      <c r="E76" s="23"/>
      <c r="F76" s="23"/>
      <c r="G76" s="23"/>
      <c r="H76" s="93">
        <v>36530867</v>
      </c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</row>
    <row r="77" spans="2:23" ht="15.75">
      <c r="B77" s="5" t="s">
        <v>281</v>
      </c>
      <c r="C77" s="19">
        <f t="shared" si="72"/>
        <v>700000</v>
      </c>
      <c r="D77" s="23"/>
      <c r="E77" s="23"/>
      <c r="F77" s="23"/>
      <c r="G77" s="23"/>
      <c r="H77" s="84">
        <v>700000</v>
      </c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</row>
    <row r="78" spans="2:23" ht="15.75">
      <c r="B78" s="42" t="s">
        <v>63</v>
      </c>
      <c r="C78" s="19">
        <f t="shared" si="72"/>
        <v>117030867</v>
      </c>
      <c r="D78" s="22">
        <f>SUM(D65:D77)</f>
        <v>0</v>
      </c>
      <c r="E78" s="22">
        <f t="shared" ref="E78" si="73">SUM(E65:E77)</f>
        <v>0</v>
      </c>
      <c r="F78" s="22">
        <f>SUM(F65:F77)</f>
        <v>0</v>
      </c>
      <c r="G78" s="22">
        <f t="shared" ref="G78:J78" si="74">SUM(G65:G77)</f>
        <v>0</v>
      </c>
      <c r="H78" s="22">
        <f>SUM(H65:H77)</f>
        <v>41230867</v>
      </c>
      <c r="I78" s="22">
        <f t="shared" si="74"/>
        <v>0</v>
      </c>
      <c r="J78" s="22">
        <f t="shared" si="74"/>
        <v>32000000</v>
      </c>
      <c r="K78" s="22">
        <f t="shared" ref="K78:U78" si="75">SUM(K65:K77)</f>
        <v>0</v>
      </c>
      <c r="L78" s="22">
        <f t="shared" si="75"/>
        <v>0</v>
      </c>
      <c r="M78" s="22">
        <f t="shared" si="75"/>
        <v>8000000</v>
      </c>
      <c r="N78" s="22">
        <f t="shared" si="75"/>
        <v>0</v>
      </c>
      <c r="O78" s="22">
        <f t="shared" si="75"/>
        <v>0</v>
      </c>
      <c r="P78" s="22">
        <f t="shared" si="75"/>
        <v>7000000</v>
      </c>
      <c r="Q78" s="22">
        <f t="shared" si="75"/>
        <v>26500000</v>
      </c>
      <c r="R78" s="22">
        <f t="shared" si="75"/>
        <v>1800000</v>
      </c>
      <c r="S78" s="22">
        <f t="shared" si="75"/>
        <v>500000</v>
      </c>
      <c r="T78" s="22">
        <f t="shared" si="75"/>
        <v>0</v>
      </c>
      <c r="U78" s="22">
        <f t="shared" si="75"/>
        <v>0</v>
      </c>
      <c r="V78" s="22">
        <f t="shared" ref="V78:W78" si="76">SUM(V65:V77)</f>
        <v>0</v>
      </c>
      <c r="W78" s="22">
        <f t="shared" si="76"/>
        <v>0</v>
      </c>
    </row>
    <row r="79" spans="2:23" ht="31.5">
      <c r="B79" s="46" t="s">
        <v>64</v>
      </c>
      <c r="C79" s="19">
        <f t="shared" si="72"/>
        <v>261540935.74333334</v>
      </c>
      <c r="D79" s="22">
        <f t="shared" ref="D79:J79" si="77">D21+D22+D55+D64+D78</f>
        <v>50907830</v>
      </c>
      <c r="E79" s="22">
        <f t="shared" si="77"/>
        <v>0</v>
      </c>
      <c r="F79" s="22">
        <f t="shared" si="77"/>
        <v>24677000.41</v>
      </c>
      <c r="G79" s="22">
        <f t="shared" si="77"/>
        <v>0</v>
      </c>
      <c r="H79" s="22">
        <f t="shared" si="77"/>
        <v>41230867</v>
      </c>
      <c r="I79" s="22">
        <f t="shared" si="77"/>
        <v>0</v>
      </c>
      <c r="J79" s="22">
        <f t="shared" si="77"/>
        <v>32000000</v>
      </c>
      <c r="K79" s="22">
        <f t="shared" ref="K79" si="78">K21+K22+K55+K64+K78</f>
        <v>1719580</v>
      </c>
      <c r="L79" s="22">
        <f t="shared" ref="L79" si="79">L21+L22+L55+L64+L78</f>
        <v>8261800</v>
      </c>
      <c r="M79" s="22">
        <f t="shared" ref="M79" si="80">M21+M22+M55+M64+M78</f>
        <v>8000000</v>
      </c>
      <c r="N79" s="22">
        <f t="shared" ref="N79" si="81">N21+N22+N55+N64+N78</f>
        <v>3885100</v>
      </c>
      <c r="O79" s="22">
        <f t="shared" ref="O79" si="82">O21+O22+O55+O64+O78</f>
        <v>25110550</v>
      </c>
      <c r="P79" s="22">
        <f t="shared" ref="P79" si="83">P21+P22+P55+P64+P78</f>
        <v>7000000</v>
      </c>
      <c r="Q79" s="22">
        <f t="shared" ref="Q79" si="84">Q21+Q22+Q55+Q64+Q78</f>
        <v>26500000</v>
      </c>
      <c r="R79" s="22">
        <f t="shared" ref="R79" si="85">R21+R22+R55+R64+R78</f>
        <v>24490000</v>
      </c>
      <c r="S79" s="22">
        <f t="shared" ref="S79" si="86">S21+S22+S55+S64+S78</f>
        <v>500000</v>
      </c>
      <c r="T79" s="22">
        <f t="shared" ref="T79" si="87">T21+T22+T55+T64+T78</f>
        <v>4000000</v>
      </c>
      <c r="U79" s="22">
        <f t="shared" ref="U79:V79" si="88">U21+U22+U55+U64+U78</f>
        <v>3258208.333333333</v>
      </c>
      <c r="V79" s="22">
        <f t="shared" si="88"/>
        <v>0</v>
      </c>
      <c r="W79" s="22">
        <f t="shared" ref="W79" si="89">W21+W22+W55+W64+W78</f>
        <v>0</v>
      </c>
    </row>
    <row r="80" spans="2:23" ht="15.75">
      <c r="B80" s="5" t="s">
        <v>65</v>
      </c>
      <c r="C80" s="19">
        <f t="shared" si="72"/>
        <v>0</v>
      </c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</row>
    <row r="81" spans="2:23" ht="15.75">
      <c r="B81" s="5" t="s">
        <v>66</v>
      </c>
      <c r="C81" s="19">
        <f t="shared" si="72"/>
        <v>0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</row>
    <row r="82" spans="2:23" ht="31.5">
      <c r="B82" s="5" t="s">
        <v>67</v>
      </c>
      <c r="C82" s="19">
        <f t="shared" si="72"/>
        <v>0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</row>
    <row r="83" spans="2:23" ht="31.5">
      <c r="B83" s="5" t="s">
        <v>68</v>
      </c>
      <c r="C83" s="19">
        <f t="shared" si="72"/>
        <v>448747536.81102359</v>
      </c>
      <c r="D83" s="23"/>
      <c r="E83" s="23"/>
      <c r="F83" s="67">
        <f>F263/1.27</f>
        <v>448747536.81102359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</row>
    <row r="84" spans="2:23" ht="15.75">
      <c r="B84" s="5" t="s">
        <v>69</v>
      </c>
      <c r="C84" s="19">
        <f t="shared" si="72"/>
        <v>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</row>
    <row r="85" spans="2:23" ht="31.5">
      <c r="B85" s="5" t="s">
        <v>70</v>
      </c>
      <c r="C85" s="19">
        <f t="shared" si="72"/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</row>
    <row r="86" spans="2:23" ht="31.5">
      <c r="B86" s="5" t="s">
        <v>71</v>
      </c>
      <c r="C86" s="19">
        <f t="shared" si="72"/>
        <v>121161834.93897638</v>
      </c>
      <c r="D86" s="23"/>
      <c r="E86" s="23"/>
      <c r="F86" s="23">
        <f>F83*0.27</f>
        <v>121161834.93897638</v>
      </c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</row>
    <row r="87" spans="2:23" ht="15.75">
      <c r="B87" s="42" t="s">
        <v>72</v>
      </c>
      <c r="C87" s="19">
        <f t="shared" si="72"/>
        <v>569909371.75</v>
      </c>
      <c r="D87" s="22">
        <f>SUM(D80:D86)</f>
        <v>0</v>
      </c>
      <c r="E87" s="22">
        <f t="shared" ref="E87" si="90">SUM(E80:E86)</f>
        <v>0</v>
      </c>
      <c r="F87" s="22">
        <f>SUM(F80:F86)</f>
        <v>569909371.75</v>
      </c>
      <c r="G87" s="22">
        <f t="shared" ref="G87:J87" si="91">SUM(G80:G86)</f>
        <v>0</v>
      </c>
      <c r="H87" s="22">
        <f>SUM(H80:H86)</f>
        <v>0</v>
      </c>
      <c r="I87" s="22">
        <f t="shared" si="91"/>
        <v>0</v>
      </c>
      <c r="J87" s="22">
        <f t="shared" si="91"/>
        <v>0</v>
      </c>
      <c r="K87" s="22">
        <f t="shared" ref="K87:U87" si="92">SUM(K80:K86)</f>
        <v>0</v>
      </c>
      <c r="L87" s="22">
        <f t="shared" si="92"/>
        <v>0</v>
      </c>
      <c r="M87" s="22">
        <f t="shared" si="92"/>
        <v>0</v>
      </c>
      <c r="N87" s="22">
        <f t="shared" si="92"/>
        <v>0</v>
      </c>
      <c r="O87" s="22">
        <f t="shared" si="92"/>
        <v>0</v>
      </c>
      <c r="P87" s="22">
        <f t="shared" si="92"/>
        <v>0</v>
      </c>
      <c r="Q87" s="22">
        <f t="shared" si="92"/>
        <v>0</v>
      </c>
      <c r="R87" s="22">
        <f t="shared" si="92"/>
        <v>0</v>
      </c>
      <c r="S87" s="22">
        <f t="shared" si="92"/>
        <v>0</v>
      </c>
      <c r="T87" s="22">
        <f t="shared" si="92"/>
        <v>0</v>
      </c>
      <c r="U87" s="22">
        <f t="shared" si="92"/>
        <v>0</v>
      </c>
      <c r="V87" s="22">
        <f t="shared" ref="V87:W87" si="93">SUM(V80:V86)</f>
        <v>0</v>
      </c>
      <c r="W87" s="22">
        <f t="shared" si="93"/>
        <v>0</v>
      </c>
    </row>
    <row r="88" spans="2:23" ht="15.75">
      <c r="B88" s="5" t="s">
        <v>73</v>
      </c>
      <c r="C88" s="19">
        <f t="shared" si="72"/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</row>
    <row r="89" spans="2:23" ht="15.75">
      <c r="B89" s="5" t="s">
        <v>74</v>
      </c>
      <c r="C89" s="19">
        <f t="shared" si="72"/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</row>
    <row r="90" spans="2:23" ht="15.75">
      <c r="B90" s="5" t="s">
        <v>75</v>
      </c>
      <c r="C90" s="19">
        <f t="shared" si="72"/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</row>
    <row r="91" spans="2:23" ht="31.5">
      <c r="B91" s="5" t="s">
        <v>76</v>
      </c>
      <c r="C91" s="19">
        <f t="shared" si="72"/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</row>
    <row r="92" spans="2:23" ht="15.75">
      <c r="B92" s="42" t="s">
        <v>77</v>
      </c>
      <c r="C92" s="19">
        <f t="shared" si="72"/>
        <v>0</v>
      </c>
      <c r="D92" s="22">
        <f>SUM(D88:D91)</f>
        <v>0</v>
      </c>
      <c r="E92" s="22">
        <f t="shared" ref="E92" si="94">SUM(E88:E91)</f>
        <v>0</v>
      </c>
      <c r="F92" s="22">
        <f>SUM(F88:F91)</f>
        <v>0</v>
      </c>
      <c r="G92" s="22">
        <f t="shared" ref="G92:J92" si="95">SUM(G88:G91)</f>
        <v>0</v>
      </c>
      <c r="H92" s="22">
        <f>SUM(H88:H91)</f>
        <v>0</v>
      </c>
      <c r="I92" s="22">
        <f t="shared" si="95"/>
        <v>0</v>
      </c>
      <c r="J92" s="22">
        <f t="shared" si="95"/>
        <v>0</v>
      </c>
      <c r="K92" s="22">
        <f t="shared" ref="K92:U92" si="96">SUM(K88:K91)</f>
        <v>0</v>
      </c>
      <c r="L92" s="22">
        <f t="shared" si="96"/>
        <v>0</v>
      </c>
      <c r="M92" s="22">
        <f t="shared" si="96"/>
        <v>0</v>
      </c>
      <c r="N92" s="22">
        <f t="shared" si="96"/>
        <v>0</v>
      </c>
      <c r="O92" s="22">
        <f t="shared" si="96"/>
        <v>0</v>
      </c>
      <c r="P92" s="22">
        <f t="shared" si="96"/>
        <v>0</v>
      </c>
      <c r="Q92" s="22">
        <f t="shared" si="96"/>
        <v>0</v>
      </c>
      <c r="R92" s="22">
        <f t="shared" si="96"/>
        <v>0</v>
      </c>
      <c r="S92" s="22">
        <f t="shared" si="96"/>
        <v>0</v>
      </c>
      <c r="T92" s="22">
        <f t="shared" si="96"/>
        <v>0</v>
      </c>
      <c r="U92" s="22">
        <f t="shared" si="96"/>
        <v>0</v>
      </c>
      <c r="V92" s="22">
        <f t="shared" ref="V92:W92" si="97">SUM(V88:V91)</f>
        <v>0</v>
      </c>
      <c r="W92" s="22">
        <f t="shared" si="97"/>
        <v>0</v>
      </c>
    </row>
    <row r="93" spans="2:23" ht="47.25">
      <c r="B93" s="5" t="s">
        <v>78</v>
      </c>
      <c r="C93" s="19">
        <f t="shared" si="72"/>
        <v>0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</row>
    <row r="94" spans="2:23" ht="47.25">
      <c r="B94" s="5" t="s">
        <v>79</v>
      </c>
      <c r="C94" s="19">
        <f t="shared" si="72"/>
        <v>0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</row>
    <row r="95" spans="2:23" ht="47.25">
      <c r="B95" s="5" t="s">
        <v>80</v>
      </c>
      <c r="C95" s="19">
        <f t="shared" si="72"/>
        <v>0</v>
      </c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</row>
    <row r="96" spans="2:23" ht="31.5">
      <c r="B96" s="5" t="s">
        <v>81</v>
      </c>
      <c r="C96" s="19">
        <f t="shared" si="72"/>
        <v>0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</row>
    <row r="97" spans="2:23" ht="47.25">
      <c r="B97" s="5" t="s">
        <v>82</v>
      </c>
      <c r="C97" s="19">
        <f t="shared" si="72"/>
        <v>0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</row>
    <row r="98" spans="2:23" ht="47.25">
      <c r="B98" s="5" t="s">
        <v>83</v>
      </c>
      <c r="C98" s="19">
        <f t="shared" si="72"/>
        <v>0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</row>
    <row r="99" spans="2:23" ht="15.75">
      <c r="B99" s="5" t="s">
        <v>84</v>
      </c>
      <c r="C99" s="19">
        <f t="shared" si="72"/>
        <v>0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</row>
    <row r="100" spans="2:23" ht="31.5">
      <c r="B100" s="5" t="s">
        <v>85</v>
      </c>
      <c r="C100" s="19">
        <f t="shared" si="72"/>
        <v>0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</row>
    <row r="101" spans="2:23" ht="15.75">
      <c r="B101" s="42" t="s">
        <v>86</v>
      </c>
      <c r="C101" s="19">
        <f t="shared" si="72"/>
        <v>0</v>
      </c>
      <c r="D101" s="22">
        <f>SUM(D93:D100)</f>
        <v>0</v>
      </c>
      <c r="E101" s="22">
        <f t="shared" ref="E101" si="98">SUM(E93:E100)</f>
        <v>0</v>
      </c>
      <c r="F101" s="22">
        <f t="shared" ref="F101:J101" si="99">SUM(F93:F100)</f>
        <v>0</v>
      </c>
      <c r="G101" s="22">
        <f t="shared" si="99"/>
        <v>0</v>
      </c>
      <c r="H101" s="22">
        <f>SUM(H93:H100)</f>
        <v>0</v>
      </c>
      <c r="I101" s="22">
        <f t="shared" si="99"/>
        <v>0</v>
      </c>
      <c r="J101" s="22">
        <f t="shared" si="99"/>
        <v>0</v>
      </c>
      <c r="K101" s="22">
        <f t="shared" ref="K101:U101" si="100">SUM(K93:K100)</f>
        <v>0</v>
      </c>
      <c r="L101" s="22">
        <f t="shared" si="100"/>
        <v>0</v>
      </c>
      <c r="M101" s="22">
        <f t="shared" si="100"/>
        <v>0</v>
      </c>
      <c r="N101" s="22">
        <f t="shared" si="100"/>
        <v>0</v>
      </c>
      <c r="O101" s="22">
        <f t="shared" si="100"/>
        <v>0</v>
      </c>
      <c r="P101" s="22">
        <f t="shared" si="100"/>
        <v>0</v>
      </c>
      <c r="Q101" s="22">
        <f t="shared" si="100"/>
        <v>0</v>
      </c>
      <c r="R101" s="22">
        <f t="shared" si="100"/>
        <v>0</v>
      </c>
      <c r="S101" s="22">
        <f t="shared" si="100"/>
        <v>0</v>
      </c>
      <c r="T101" s="22">
        <f t="shared" si="100"/>
        <v>0</v>
      </c>
      <c r="U101" s="22">
        <f t="shared" si="100"/>
        <v>0</v>
      </c>
      <c r="V101" s="22">
        <f t="shared" ref="V101:W101" si="101">SUM(V93:V100)</f>
        <v>0</v>
      </c>
      <c r="W101" s="22">
        <f t="shared" si="101"/>
        <v>0</v>
      </c>
    </row>
    <row r="102" spans="2:23" ht="47.25">
      <c r="B102" s="46" t="s">
        <v>87</v>
      </c>
      <c r="C102" s="19">
        <f t="shared" si="72"/>
        <v>569909371.75</v>
      </c>
      <c r="D102" s="22">
        <f>D87+D92+D101</f>
        <v>0</v>
      </c>
      <c r="E102" s="22">
        <f t="shared" ref="E102" si="102">E87+E92+E101</f>
        <v>0</v>
      </c>
      <c r="F102" s="22">
        <f>F87+F92+F101</f>
        <v>569909371.75</v>
      </c>
      <c r="G102" s="22">
        <f t="shared" ref="G102:J102" si="103">G87+G92+G101</f>
        <v>0</v>
      </c>
      <c r="H102" s="22">
        <f>H87+H92+H101</f>
        <v>0</v>
      </c>
      <c r="I102" s="22">
        <f t="shared" si="103"/>
        <v>0</v>
      </c>
      <c r="J102" s="22">
        <f t="shared" si="103"/>
        <v>0</v>
      </c>
      <c r="K102" s="22">
        <f t="shared" ref="K102:U102" si="104">K87+K92+K101</f>
        <v>0</v>
      </c>
      <c r="L102" s="22">
        <f t="shared" si="104"/>
        <v>0</v>
      </c>
      <c r="M102" s="22">
        <f t="shared" si="104"/>
        <v>0</v>
      </c>
      <c r="N102" s="22">
        <f t="shared" si="104"/>
        <v>0</v>
      </c>
      <c r="O102" s="22">
        <f t="shared" si="104"/>
        <v>0</v>
      </c>
      <c r="P102" s="22">
        <f t="shared" si="104"/>
        <v>0</v>
      </c>
      <c r="Q102" s="22">
        <f t="shared" si="104"/>
        <v>0</v>
      </c>
      <c r="R102" s="22">
        <f t="shared" si="104"/>
        <v>0</v>
      </c>
      <c r="S102" s="22">
        <f t="shared" si="104"/>
        <v>0</v>
      </c>
      <c r="T102" s="22">
        <f t="shared" si="104"/>
        <v>0</v>
      </c>
      <c r="U102" s="22">
        <f t="shared" si="104"/>
        <v>0</v>
      </c>
      <c r="V102" s="22">
        <f t="shared" ref="V102:W102" si="105">V87+V92+V101</f>
        <v>0</v>
      </c>
      <c r="W102" s="22">
        <f t="shared" si="105"/>
        <v>0</v>
      </c>
    </row>
    <row r="103" spans="2:23" s="59" customFormat="1" ht="15.75">
      <c r="B103" s="58" t="s">
        <v>88</v>
      </c>
      <c r="C103" s="19">
        <f t="shared" si="72"/>
        <v>831450307.49333334</v>
      </c>
      <c r="D103" s="22">
        <f>D21+D22+D55+D64+D78+D87+D92+D101</f>
        <v>50907830</v>
      </c>
      <c r="E103" s="22">
        <f t="shared" ref="E103:J103" si="106">E21+E22+E55+E64+E78+E87+E92+E101</f>
        <v>0</v>
      </c>
      <c r="F103" s="22">
        <f t="shared" si="106"/>
        <v>594586372.15999997</v>
      </c>
      <c r="G103" s="22">
        <f t="shared" si="106"/>
        <v>0</v>
      </c>
      <c r="H103" s="22">
        <f t="shared" si="106"/>
        <v>41230867</v>
      </c>
      <c r="I103" s="22">
        <f t="shared" si="106"/>
        <v>0</v>
      </c>
      <c r="J103" s="22">
        <f t="shared" si="106"/>
        <v>32000000</v>
      </c>
      <c r="K103" s="22">
        <f t="shared" ref="K103:U103" si="107">K21+K22+K55+K64+K78+K87+K92+K101</f>
        <v>1719580</v>
      </c>
      <c r="L103" s="22">
        <f t="shared" si="107"/>
        <v>8261800</v>
      </c>
      <c r="M103" s="22">
        <f t="shared" si="107"/>
        <v>8000000</v>
      </c>
      <c r="N103" s="22">
        <f t="shared" si="107"/>
        <v>3885100</v>
      </c>
      <c r="O103" s="22">
        <f t="shared" si="107"/>
        <v>25110550</v>
      </c>
      <c r="P103" s="22">
        <f t="shared" si="107"/>
        <v>7000000</v>
      </c>
      <c r="Q103" s="22">
        <f t="shared" si="107"/>
        <v>26500000</v>
      </c>
      <c r="R103" s="22">
        <f t="shared" si="107"/>
        <v>24490000</v>
      </c>
      <c r="S103" s="22">
        <f t="shared" si="107"/>
        <v>500000</v>
      </c>
      <c r="T103" s="22">
        <f t="shared" si="107"/>
        <v>4000000</v>
      </c>
      <c r="U103" s="22">
        <f t="shared" si="107"/>
        <v>3258208.333333333</v>
      </c>
      <c r="V103" s="22">
        <f t="shared" ref="V103:W103" si="108">V21+V22+V55+V64+V78+V87+V92+V101</f>
        <v>0</v>
      </c>
      <c r="W103" s="22">
        <f t="shared" si="108"/>
        <v>0</v>
      </c>
    </row>
    <row r="104" spans="2:23" ht="31.5">
      <c r="B104" s="5" t="s">
        <v>89</v>
      </c>
      <c r="C104" s="19">
        <f t="shared" si="72"/>
        <v>0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</row>
    <row r="105" spans="2:23" ht="31.5">
      <c r="B105" s="5" t="s">
        <v>90</v>
      </c>
      <c r="C105" s="19">
        <f t="shared" si="72"/>
        <v>0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</row>
    <row r="106" spans="2:23" ht="31.5">
      <c r="B106" s="5" t="s">
        <v>91</v>
      </c>
      <c r="C106" s="19">
        <f t="shared" si="72"/>
        <v>0</v>
      </c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</row>
    <row r="107" spans="2:23" ht="31.5">
      <c r="B107" s="5" t="s">
        <v>92</v>
      </c>
      <c r="C107" s="19">
        <f t="shared" si="72"/>
        <v>0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</row>
    <row r="108" spans="2:23" ht="31.5">
      <c r="B108" s="5" t="s">
        <v>93</v>
      </c>
      <c r="C108" s="19">
        <f t="shared" si="72"/>
        <v>0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</row>
    <row r="109" spans="2:23" ht="31.5">
      <c r="B109" s="5" t="s">
        <v>94</v>
      </c>
      <c r="C109" s="19">
        <f t="shared" si="72"/>
        <v>0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</row>
    <row r="110" spans="2:23" ht="31.5">
      <c r="B110" s="5" t="s">
        <v>95</v>
      </c>
      <c r="C110" s="19">
        <f t="shared" si="72"/>
        <v>0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</row>
    <row r="111" spans="2:23" ht="31.5">
      <c r="B111" s="5" t="s">
        <v>96</v>
      </c>
      <c r="C111" s="19">
        <f t="shared" si="72"/>
        <v>0</v>
      </c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</row>
    <row r="112" spans="2:23" ht="15.75">
      <c r="B112" s="5" t="s">
        <v>97</v>
      </c>
      <c r="C112" s="19">
        <f t="shared" si="72"/>
        <v>0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</row>
    <row r="113" spans="2:23" ht="31.5">
      <c r="B113" s="5" t="s">
        <v>98</v>
      </c>
      <c r="C113" s="19">
        <f t="shared" si="72"/>
        <v>0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</row>
    <row r="114" spans="2:23" ht="31.5">
      <c r="B114" s="5" t="s">
        <v>99</v>
      </c>
      <c r="C114" s="19">
        <f t="shared" si="72"/>
        <v>8632668</v>
      </c>
      <c r="D114" s="23"/>
      <c r="E114" s="23"/>
      <c r="F114" s="23"/>
      <c r="G114" s="103">
        <v>8632668</v>
      </c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</row>
    <row r="115" spans="2:23" ht="31.5">
      <c r="B115" s="5" t="s">
        <v>100</v>
      </c>
      <c r="C115" s="19">
        <f t="shared" si="72"/>
        <v>0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</row>
    <row r="116" spans="2:23" ht="15.75">
      <c r="B116" s="5" t="s">
        <v>101</v>
      </c>
      <c r="C116" s="19">
        <f t="shared" si="72"/>
        <v>0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</row>
    <row r="117" spans="2:23" ht="15.75">
      <c r="B117" s="5" t="s">
        <v>102</v>
      </c>
      <c r="C117" s="19">
        <f t="shared" si="72"/>
        <v>0</v>
      </c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</row>
    <row r="118" spans="2:23" ht="31.5">
      <c r="B118" s="5" t="s">
        <v>103</v>
      </c>
      <c r="C118" s="19">
        <f t="shared" si="72"/>
        <v>0</v>
      </c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</row>
    <row r="119" spans="2:23" ht="15.75">
      <c r="B119" s="41" t="s">
        <v>104</v>
      </c>
      <c r="C119" s="19">
        <f t="shared" si="72"/>
        <v>8632668</v>
      </c>
      <c r="D119" s="22">
        <f t="shared" ref="D119:G119" si="109">SUM(D104:D118)</f>
        <v>0</v>
      </c>
      <c r="E119" s="22">
        <f t="shared" si="109"/>
        <v>0</v>
      </c>
      <c r="F119" s="22">
        <f t="shared" si="109"/>
        <v>0</v>
      </c>
      <c r="G119" s="22">
        <f t="shared" si="109"/>
        <v>8632668</v>
      </c>
      <c r="H119" s="22">
        <f>SUM(H104:H118)</f>
        <v>0</v>
      </c>
      <c r="I119" s="22">
        <f t="shared" ref="I119" si="110">SUM(I104:I118)</f>
        <v>0</v>
      </c>
      <c r="J119" s="22">
        <f t="shared" ref="J119" si="111">SUM(J104:J118)</f>
        <v>0</v>
      </c>
      <c r="K119" s="22">
        <f t="shared" ref="K119" si="112">SUM(K104:K118)</f>
        <v>0</v>
      </c>
      <c r="L119" s="22">
        <f t="shared" ref="L119:M119" si="113">SUM(L104:L118)</f>
        <v>0</v>
      </c>
      <c r="M119" s="22">
        <f t="shared" si="113"/>
        <v>0</v>
      </c>
      <c r="N119" s="22">
        <f t="shared" ref="N119" si="114">SUM(N104:N118)</f>
        <v>0</v>
      </c>
      <c r="O119" s="22">
        <f t="shared" ref="O119" si="115">SUM(O104:O118)</f>
        <v>0</v>
      </c>
      <c r="P119" s="22">
        <f t="shared" ref="P119" si="116">SUM(P104:P118)</f>
        <v>0</v>
      </c>
      <c r="Q119" s="22">
        <f t="shared" ref="Q119:R119" si="117">SUM(Q104:Q118)</f>
        <v>0</v>
      </c>
      <c r="R119" s="22">
        <f t="shared" si="117"/>
        <v>0</v>
      </c>
      <c r="S119" s="22">
        <f t="shared" ref="S119" si="118">SUM(S104:S118)</f>
        <v>0</v>
      </c>
      <c r="T119" s="22">
        <f t="shared" ref="T119" si="119">SUM(T104:T118)</f>
        <v>0</v>
      </c>
      <c r="U119" s="22">
        <f t="shared" ref="U119" si="120">SUM(U104:U118)</f>
        <v>0</v>
      </c>
      <c r="V119" s="22">
        <f t="shared" ref="V119:W119" si="121">SUM(V104:V118)</f>
        <v>0</v>
      </c>
      <c r="W119" s="22">
        <f t="shared" si="121"/>
        <v>0</v>
      </c>
    </row>
    <row r="120" spans="2:23" ht="31.5">
      <c r="B120" s="5" t="s">
        <v>105</v>
      </c>
      <c r="C120" s="19">
        <f t="shared" si="72"/>
        <v>0</v>
      </c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</row>
    <row r="121" spans="2:23" ht="31.5">
      <c r="B121" s="5" t="s">
        <v>106</v>
      </c>
      <c r="C121" s="19">
        <f t="shared" si="72"/>
        <v>0</v>
      </c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</row>
    <row r="122" spans="2:23" ht="15.75">
      <c r="B122" s="5" t="s">
        <v>107</v>
      </c>
      <c r="C122" s="19">
        <f t="shared" si="72"/>
        <v>0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</row>
    <row r="123" spans="2:23" ht="15.75">
      <c r="B123" s="5" t="s">
        <v>108</v>
      </c>
      <c r="C123" s="19">
        <f t="shared" si="72"/>
        <v>0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</row>
    <row r="124" spans="2:23" ht="15.75">
      <c r="B124" s="41" t="s">
        <v>109</v>
      </c>
      <c r="C124" s="19">
        <f t="shared" si="72"/>
        <v>0</v>
      </c>
      <c r="D124" s="22">
        <f>D120+D121+D122+D123</f>
        <v>0</v>
      </c>
      <c r="E124" s="22">
        <f t="shared" ref="E124" si="122">E120+E121+E122+E123</f>
        <v>0</v>
      </c>
      <c r="F124" s="22">
        <f t="shared" ref="F124:J124" si="123">F120+F121+F122+F123</f>
        <v>0</v>
      </c>
      <c r="G124" s="22">
        <f t="shared" si="123"/>
        <v>0</v>
      </c>
      <c r="H124" s="22">
        <f>H120+H121+H122+H123</f>
        <v>0</v>
      </c>
      <c r="I124" s="22">
        <f t="shared" si="123"/>
        <v>0</v>
      </c>
      <c r="J124" s="22">
        <f t="shared" si="123"/>
        <v>0</v>
      </c>
      <c r="K124" s="22">
        <f t="shared" ref="K124:U124" si="124">K120+K121+K122+K123</f>
        <v>0</v>
      </c>
      <c r="L124" s="22">
        <f t="shared" si="124"/>
        <v>0</v>
      </c>
      <c r="M124" s="22">
        <f t="shared" si="124"/>
        <v>0</v>
      </c>
      <c r="N124" s="22">
        <f t="shared" si="124"/>
        <v>0</v>
      </c>
      <c r="O124" s="22">
        <f t="shared" si="124"/>
        <v>0</v>
      </c>
      <c r="P124" s="22">
        <f t="shared" si="124"/>
        <v>0</v>
      </c>
      <c r="Q124" s="22">
        <f t="shared" si="124"/>
        <v>0</v>
      </c>
      <c r="R124" s="22">
        <f t="shared" si="124"/>
        <v>0</v>
      </c>
      <c r="S124" s="22">
        <f t="shared" si="124"/>
        <v>0</v>
      </c>
      <c r="T124" s="22">
        <f t="shared" si="124"/>
        <v>0</v>
      </c>
      <c r="U124" s="22">
        <f t="shared" si="124"/>
        <v>0</v>
      </c>
      <c r="V124" s="22">
        <f t="shared" ref="V124:W124" si="125">V120+V121+V122+V123</f>
        <v>0</v>
      </c>
      <c r="W124" s="22">
        <f t="shared" si="125"/>
        <v>0</v>
      </c>
    </row>
    <row r="125" spans="2:23" ht="31.5">
      <c r="B125" s="41" t="s">
        <v>110</v>
      </c>
      <c r="C125" s="19">
        <f t="shared" si="72"/>
        <v>0</v>
      </c>
      <c r="D125" s="22">
        <f>SUM(D120:D123)</f>
        <v>0</v>
      </c>
      <c r="E125" s="22">
        <f t="shared" ref="E125" si="126">SUM(E120:E123)</f>
        <v>0</v>
      </c>
      <c r="F125" s="22">
        <f t="shared" ref="F125:J125" si="127">SUM(F120:F123)</f>
        <v>0</v>
      </c>
      <c r="G125" s="22">
        <f t="shared" si="127"/>
        <v>0</v>
      </c>
      <c r="H125" s="22">
        <f>SUM(H120:H123)</f>
        <v>0</v>
      </c>
      <c r="I125" s="22">
        <f t="shared" si="127"/>
        <v>0</v>
      </c>
      <c r="J125" s="22">
        <f t="shared" si="127"/>
        <v>0</v>
      </c>
      <c r="K125" s="22">
        <f t="shared" ref="K125:U125" si="128">SUM(K120:K123)</f>
        <v>0</v>
      </c>
      <c r="L125" s="22">
        <f t="shared" si="128"/>
        <v>0</v>
      </c>
      <c r="M125" s="22">
        <f t="shared" si="128"/>
        <v>0</v>
      </c>
      <c r="N125" s="22">
        <f t="shared" si="128"/>
        <v>0</v>
      </c>
      <c r="O125" s="22">
        <f t="shared" si="128"/>
        <v>0</v>
      </c>
      <c r="P125" s="22">
        <f t="shared" si="128"/>
        <v>0</v>
      </c>
      <c r="Q125" s="22">
        <f t="shared" si="128"/>
        <v>0</v>
      </c>
      <c r="R125" s="22">
        <f t="shared" si="128"/>
        <v>0</v>
      </c>
      <c r="S125" s="22">
        <f t="shared" si="128"/>
        <v>0</v>
      </c>
      <c r="T125" s="22">
        <f t="shared" si="128"/>
        <v>0</v>
      </c>
      <c r="U125" s="22">
        <f t="shared" si="128"/>
        <v>0</v>
      </c>
      <c r="V125" s="22">
        <f t="shared" ref="V125:W125" si="129">SUM(V120:V123)</f>
        <v>0</v>
      </c>
      <c r="W125" s="22">
        <f t="shared" si="129"/>
        <v>0</v>
      </c>
    </row>
    <row r="126" spans="2:23" ht="15.75">
      <c r="B126" s="46" t="s">
        <v>111</v>
      </c>
      <c r="C126" s="19">
        <f t="shared" si="72"/>
        <v>8632668</v>
      </c>
      <c r="D126" s="22">
        <f>D119+D124+D125</f>
        <v>0</v>
      </c>
      <c r="E126" s="22">
        <f t="shared" ref="E126" si="130">E119+E124+E125</f>
        <v>0</v>
      </c>
      <c r="F126" s="22">
        <f>F119+F124+F125</f>
        <v>0</v>
      </c>
      <c r="G126" s="22">
        <f t="shared" ref="G126:J126" si="131">G119+G124+G125</f>
        <v>8632668</v>
      </c>
      <c r="H126" s="22">
        <f>H119+H124+H125</f>
        <v>0</v>
      </c>
      <c r="I126" s="22">
        <f t="shared" si="131"/>
        <v>0</v>
      </c>
      <c r="J126" s="22">
        <f t="shared" si="131"/>
        <v>0</v>
      </c>
      <c r="K126" s="22">
        <f t="shared" ref="K126:U126" si="132">K119+K124+K125</f>
        <v>0</v>
      </c>
      <c r="L126" s="22">
        <f t="shared" si="132"/>
        <v>0</v>
      </c>
      <c r="M126" s="22">
        <f t="shared" si="132"/>
        <v>0</v>
      </c>
      <c r="N126" s="22">
        <f t="shared" si="132"/>
        <v>0</v>
      </c>
      <c r="O126" s="22">
        <f t="shared" si="132"/>
        <v>0</v>
      </c>
      <c r="P126" s="22">
        <f t="shared" si="132"/>
        <v>0</v>
      </c>
      <c r="Q126" s="22">
        <f t="shared" si="132"/>
        <v>0</v>
      </c>
      <c r="R126" s="22">
        <f t="shared" si="132"/>
        <v>0</v>
      </c>
      <c r="S126" s="22">
        <f t="shared" si="132"/>
        <v>0</v>
      </c>
      <c r="T126" s="22">
        <f t="shared" si="132"/>
        <v>0</v>
      </c>
      <c r="U126" s="22">
        <f t="shared" si="132"/>
        <v>0</v>
      </c>
      <c r="V126" s="22">
        <f t="shared" ref="V126:W126" si="133">V119+V124+V125</f>
        <v>0</v>
      </c>
      <c r="W126" s="22">
        <f t="shared" si="133"/>
        <v>0</v>
      </c>
    </row>
    <row r="127" spans="2:23" s="59" customFormat="1" ht="15.75">
      <c r="B127" s="42" t="s">
        <v>112</v>
      </c>
      <c r="C127" s="19">
        <f t="shared" si="72"/>
        <v>840082975.49333334</v>
      </c>
      <c r="D127" s="22">
        <f>D103+D126</f>
        <v>50907830</v>
      </c>
      <c r="E127" s="22">
        <f t="shared" ref="E127" si="134">E103+E126</f>
        <v>0</v>
      </c>
      <c r="F127" s="22">
        <f>F103+F126</f>
        <v>594586372.15999997</v>
      </c>
      <c r="G127" s="22">
        <f t="shared" ref="G127:J127" si="135">G103+G126</f>
        <v>8632668</v>
      </c>
      <c r="H127" s="22">
        <f>H103+H126</f>
        <v>41230867</v>
      </c>
      <c r="I127" s="22">
        <f t="shared" si="135"/>
        <v>0</v>
      </c>
      <c r="J127" s="22">
        <f t="shared" si="135"/>
        <v>32000000</v>
      </c>
      <c r="K127" s="22">
        <f t="shared" ref="K127:U127" si="136">K103+K126</f>
        <v>1719580</v>
      </c>
      <c r="L127" s="22">
        <f t="shared" si="136"/>
        <v>8261800</v>
      </c>
      <c r="M127" s="22">
        <f t="shared" si="136"/>
        <v>8000000</v>
      </c>
      <c r="N127" s="22">
        <f t="shared" si="136"/>
        <v>3885100</v>
      </c>
      <c r="O127" s="22">
        <f t="shared" si="136"/>
        <v>25110550</v>
      </c>
      <c r="P127" s="22">
        <f t="shared" si="136"/>
        <v>7000000</v>
      </c>
      <c r="Q127" s="22">
        <f t="shared" si="136"/>
        <v>26500000</v>
      </c>
      <c r="R127" s="22">
        <f t="shared" si="136"/>
        <v>24490000</v>
      </c>
      <c r="S127" s="22">
        <f t="shared" si="136"/>
        <v>500000</v>
      </c>
      <c r="T127" s="22">
        <f t="shared" si="136"/>
        <v>4000000</v>
      </c>
      <c r="U127" s="22">
        <f t="shared" si="136"/>
        <v>3258208.333333333</v>
      </c>
      <c r="V127" s="22">
        <f t="shared" ref="V127:W127" si="137">V103+V126</f>
        <v>0</v>
      </c>
      <c r="W127" s="22">
        <f t="shared" si="137"/>
        <v>0</v>
      </c>
    </row>
    <row r="128" spans="2:23" ht="31.5">
      <c r="B128" s="5" t="s">
        <v>113</v>
      </c>
      <c r="C128" s="19">
        <f t="shared" si="72"/>
        <v>138867869</v>
      </c>
      <c r="D128" s="23"/>
      <c r="E128" s="23"/>
      <c r="F128" s="23"/>
      <c r="G128" s="64">
        <v>138867869</v>
      </c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</row>
    <row r="129" spans="2:23" ht="31.5">
      <c r="B129" s="5" t="s">
        <v>282</v>
      </c>
      <c r="C129" s="19">
        <f t="shared" si="72"/>
        <v>41592100</v>
      </c>
      <c r="D129" s="23"/>
      <c r="E129" s="23"/>
      <c r="F129" s="23"/>
      <c r="G129" s="64">
        <v>41592100</v>
      </c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</row>
    <row r="130" spans="2:23" ht="31.5">
      <c r="B130" s="5" t="s">
        <v>115</v>
      </c>
      <c r="C130" s="19">
        <f t="shared" si="72"/>
        <v>33004835</v>
      </c>
      <c r="D130" s="23"/>
      <c r="E130" s="23"/>
      <c r="F130" s="23"/>
      <c r="G130" s="64">
        <f>8369000+2875840+13159500+8600495</f>
        <v>33004835</v>
      </c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</row>
    <row r="131" spans="2:23" ht="31.5">
      <c r="B131" s="5" t="s">
        <v>116</v>
      </c>
      <c r="C131" s="19">
        <f t="shared" si="72"/>
        <v>2351880</v>
      </c>
      <c r="D131" s="23"/>
      <c r="E131" s="23"/>
      <c r="F131" s="23"/>
      <c r="G131" s="64">
        <v>2351880</v>
      </c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</row>
    <row r="132" spans="2:23" ht="31.5">
      <c r="B132" s="5" t="s">
        <v>117</v>
      </c>
      <c r="C132" s="19">
        <f t="shared" si="72"/>
        <v>0</v>
      </c>
      <c r="D132" s="23"/>
      <c r="E132" s="23"/>
      <c r="F132" s="23"/>
      <c r="G132" s="22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</row>
    <row r="133" spans="2:23" ht="31.5">
      <c r="B133" s="5" t="s">
        <v>118</v>
      </c>
      <c r="C133" s="19">
        <f t="shared" si="72"/>
        <v>0</v>
      </c>
      <c r="D133" s="23"/>
      <c r="E133" s="23"/>
      <c r="F133" s="23"/>
      <c r="G133" s="23">
        <v>0</v>
      </c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</row>
    <row r="134" spans="2:23" s="65" customFormat="1" ht="31.5">
      <c r="B134" s="62" t="s">
        <v>119</v>
      </c>
      <c r="C134" s="63">
        <f t="shared" ref="C134:C204" si="138">SUM(D134:W134)</f>
        <v>215816684</v>
      </c>
      <c r="D134" s="64">
        <f>SUM(D128:D133)</f>
        <v>0</v>
      </c>
      <c r="E134" s="64">
        <f t="shared" ref="E134:W134" si="139">SUM(E128:E133)</f>
        <v>0</v>
      </c>
      <c r="F134" s="64">
        <f t="shared" si="139"/>
        <v>0</v>
      </c>
      <c r="G134" s="64">
        <f t="shared" si="139"/>
        <v>215816684</v>
      </c>
      <c r="H134" s="64">
        <f t="shared" si="139"/>
        <v>0</v>
      </c>
      <c r="I134" s="64">
        <f t="shared" si="139"/>
        <v>0</v>
      </c>
      <c r="J134" s="64">
        <f t="shared" si="139"/>
        <v>0</v>
      </c>
      <c r="K134" s="64">
        <f t="shared" si="139"/>
        <v>0</v>
      </c>
      <c r="L134" s="64">
        <f t="shared" si="139"/>
        <v>0</v>
      </c>
      <c r="M134" s="64">
        <f t="shared" si="139"/>
        <v>0</v>
      </c>
      <c r="N134" s="64">
        <f t="shared" si="139"/>
        <v>0</v>
      </c>
      <c r="O134" s="64">
        <f t="shared" si="139"/>
        <v>0</v>
      </c>
      <c r="P134" s="64">
        <f t="shared" si="139"/>
        <v>0</v>
      </c>
      <c r="Q134" s="64">
        <f t="shared" si="139"/>
        <v>0</v>
      </c>
      <c r="R134" s="64">
        <f t="shared" si="139"/>
        <v>0</v>
      </c>
      <c r="S134" s="64">
        <f t="shared" si="139"/>
        <v>0</v>
      </c>
      <c r="T134" s="64">
        <f t="shared" si="139"/>
        <v>0</v>
      </c>
      <c r="U134" s="64">
        <f t="shared" si="139"/>
        <v>0</v>
      </c>
      <c r="V134" s="64">
        <f t="shared" si="139"/>
        <v>0</v>
      </c>
      <c r="W134" s="64">
        <f t="shared" si="139"/>
        <v>0</v>
      </c>
    </row>
    <row r="135" spans="2:23" ht="15.75">
      <c r="B135" s="5" t="s">
        <v>120</v>
      </c>
      <c r="C135" s="19">
        <f t="shared" si="138"/>
        <v>0</v>
      </c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</row>
    <row r="136" spans="2:23" ht="47.25">
      <c r="B136" s="5" t="s">
        <v>121</v>
      </c>
      <c r="C136" s="19">
        <f t="shared" si="138"/>
        <v>0</v>
      </c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</row>
    <row r="137" spans="2:23" ht="47.25">
      <c r="B137" s="5" t="s">
        <v>122</v>
      </c>
      <c r="C137" s="19">
        <f t="shared" si="138"/>
        <v>0</v>
      </c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</row>
    <row r="138" spans="2:23" ht="47.25">
      <c r="B138" s="5" t="s">
        <v>123</v>
      </c>
      <c r="C138" s="19">
        <f t="shared" si="138"/>
        <v>0</v>
      </c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</row>
    <row r="139" spans="2:23" ht="78.75">
      <c r="B139" s="5" t="s">
        <v>406</v>
      </c>
      <c r="C139" s="19">
        <f t="shared" si="138"/>
        <v>8000000</v>
      </c>
      <c r="D139" s="23"/>
      <c r="E139" s="23"/>
      <c r="F139" s="23"/>
      <c r="G139" s="23"/>
      <c r="H139" s="22">
        <f>1200000+800000+6000000</f>
        <v>8000000</v>
      </c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</row>
    <row r="140" spans="2:23" ht="31.5">
      <c r="B140" s="49" t="s">
        <v>125</v>
      </c>
      <c r="C140" s="19">
        <f t="shared" si="138"/>
        <v>223816684</v>
      </c>
      <c r="D140" s="22">
        <f t="shared" ref="D140:W140" si="140">D134+D135+D136+D137+D138+D139</f>
        <v>0</v>
      </c>
      <c r="E140" s="22">
        <f t="shared" si="140"/>
        <v>0</v>
      </c>
      <c r="F140" s="22">
        <f t="shared" si="140"/>
        <v>0</v>
      </c>
      <c r="G140" s="22">
        <f t="shared" si="140"/>
        <v>215816684</v>
      </c>
      <c r="H140" s="22">
        <f t="shared" si="140"/>
        <v>8000000</v>
      </c>
      <c r="I140" s="22">
        <f t="shared" si="140"/>
        <v>0</v>
      </c>
      <c r="J140" s="22">
        <f t="shared" si="140"/>
        <v>0</v>
      </c>
      <c r="K140" s="22">
        <f t="shared" si="140"/>
        <v>0</v>
      </c>
      <c r="L140" s="22">
        <f t="shared" si="140"/>
        <v>0</v>
      </c>
      <c r="M140" s="22">
        <f t="shared" si="140"/>
        <v>0</v>
      </c>
      <c r="N140" s="22">
        <f t="shared" si="140"/>
        <v>0</v>
      </c>
      <c r="O140" s="22">
        <f t="shared" si="140"/>
        <v>0</v>
      </c>
      <c r="P140" s="22">
        <f t="shared" si="140"/>
        <v>0</v>
      </c>
      <c r="Q140" s="22">
        <f t="shared" si="140"/>
        <v>0</v>
      </c>
      <c r="R140" s="22">
        <f t="shared" si="140"/>
        <v>0</v>
      </c>
      <c r="S140" s="22">
        <f t="shared" si="140"/>
        <v>0</v>
      </c>
      <c r="T140" s="22">
        <f t="shared" si="140"/>
        <v>0</v>
      </c>
      <c r="U140" s="22">
        <f t="shared" si="140"/>
        <v>0</v>
      </c>
      <c r="V140" s="22">
        <f t="shared" si="140"/>
        <v>0</v>
      </c>
      <c r="W140" s="22">
        <f t="shared" si="140"/>
        <v>0</v>
      </c>
    </row>
    <row r="141" spans="2:23" ht="15.75">
      <c r="B141" s="5" t="s">
        <v>126</v>
      </c>
      <c r="C141" s="19">
        <f t="shared" si="138"/>
        <v>0</v>
      </c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</row>
    <row r="142" spans="2:23" ht="15.75">
      <c r="B142" s="5" t="s">
        <v>127</v>
      </c>
      <c r="C142" s="19">
        <f t="shared" si="138"/>
        <v>0</v>
      </c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</row>
    <row r="143" spans="2:23" ht="15.75">
      <c r="B143" s="5" t="s">
        <v>128</v>
      </c>
      <c r="C143" s="19">
        <f t="shared" si="138"/>
        <v>0</v>
      </c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</row>
    <row r="144" spans="2:23" ht="15.75">
      <c r="B144" s="5" t="s">
        <v>129</v>
      </c>
      <c r="C144" s="19">
        <f t="shared" si="138"/>
        <v>0</v>
      </c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</row>
    <row r="145" spans="2:23" ht="31.5">
      <c r="B145" s="5" t="s">
        <v>130</v>
      </c>
      <c r="C145" s="19">
        <f t="shared" si="138"/>
        <v>0</v>
      </c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</row>
    <row r="146" spans="2:23" ht="15.75">
      <c r="B146" s="43" t="s">
        <v>131</v>
      </c>
      <c r="C146" s="19">
        <f t="shared" si="138"/>
        <v>128000000</v>
      </c>
      <c r="D146" s="66">
        <f>SUM(D147:D148)</f>
        <v>0</v>
      </c>
      <c r="E146" s="23">
        <f t="shared" ref="E146:W146" si="141">SUM(E147:E148)</f>
        <v>128000000</v>
      </c>
      <c r="F146" s="66">
        <f t="shared" si="141"/>
        <v>0</v>
      </c>
      <c r="G146" s="66">
        <f t="shared" si="141"/>
        <v>0</v>
      </c>
      <c r="H146" s="66">
        <f t="shared" si="141"/>
        <v>0</v>
      </c>
      <c r="I146" s="66">
        <f t="shared" si="141"/>
        <v>0</v>
      </c>
      <c r="J146" s="66">
        <f t="shared" si="141"/>
        <v>0</v>
      </c>
      <c r="K146" s="66">
        <f t="shared" si="141"/>
        <v>0</v>
      </c>
      <c r="L146" s="66">
        <f t="shared" si="141"/>
        <v>0</v>
      </c>
      <c r="M146" s="66">
        <f t="shared" si="141"/>
        <v>0</v>
      </c>
      <c r="N146" s="66">
        <f t="shared" si="141"/>
        <v>0</v>
      </c>
      <c r="O146" s="66">
        <f t="shared" si="141"/>
        <v>0</v>
      </c>
      <c r="P146" s="66">
        <f t="shared" si="141"/>
        <v>0</v>
      </c>
      <c r="Q146" s="66">
        <f t="shared" si="141"/>
        <v>0</v>
      </c>
      <c r="R146" s="66">
        <f t="shared" si="141"/>
        <v>0</v>
      </c>
      <c r="S146" s="66">
        <f t="shared" si="141"/>
        <v>0</v>
      </c>
      <c r="T146" s="66">
        <f t="shared" si="141"/>
        <v>0</v>
      </c>
      <c r="U146" s="66">
        <f t="shared" si="141"/>
        <v>0</v>
      </c>
      <c r="V146" s="66">
        <f t="shared" si="141"/>
        <v>0</v>
      </c>
      <c r="W146" s="66">
        <f t="shared" si="141"/>
        <v>0</v>
      </c>
    </row>
    <row r="147" spans="2:23" ht="15.75">
      <c r="B147" s="97" t="s">
        <v>283</v>
      </c>
      <c r="C147" s="19"/>
      <c r="D147" s="36"/>
      <c r="E147" s="61">
        <v>88000000</v>
      </c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</row>
    <row r="148" spans="2:23" ht="15.75">
      <c r="B148" s="97" t="s">
        <v>284</v>
      </c>
      <c r="C148" s="19"/>
      <c r="D148" s="36"/>
      <c r="E148" s="61">
        <v>40000000</v>
      </c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</row>
    <row r="149" spans="2:23" ht="31.5">
      <c r="B149" s="43" t="s">
        <v>319</v>
      </c>
      <c r="C149" s="19">
        <f t="shared" si="138"/>
        <v>62000000</v>
      </c>
      <c r="D149" s="36"/>
      <c r="E149" s="61">
        <v>62000000</v>
      </c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</row>
    <row r="150" spans="2:23" ht="15.75">
      <c r="B150" s="43" t="s">
        <v>133</v>
      </c>
      <c r="C150" s="19">
        <f t="shared" si="138"/>
        <v>0</v>
      </c>
      <c r="D150" s="36"/>
      <c r="E150" s="61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</row>
    <row r="151" spans="2:23" ht="31.5">
      <c r="B151" s="43" t="s">
        <v>134</v>
      </c>
      <c r="C151" s="19">
        <f t="shared" si="138"/>
        <v>0</v>
      </c>
      <c r="D151" s="36"/>
      <c r="E151" s="61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</row>
    <row r="152" spans="2:23" ht="15.75">
      <c r="B152" s="41" t="s">
        <v>135</v>
      </c>
      <c r="C152" s="19">
        <f t="shared" si="138"/>
        <v>7300000</v>
      </c>
      <c r="D152" s="36"/>
      <c r="E152" s="61">
        <v>7300000</v>
      </c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</row>
    <row r="153" spans="2:23" ht="31.5">
      <c r="B153" s="5" t="s">
        <v>285</v>
      </c>
      <c r="C153" s="19">
        <f t="shared" si="138"/>
        <v>65000000</v>
      </c>
      <c r="D153" s="36"/>
      <c r="E153" s="61">
        <v>65000000</v>
      </c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</row>
    <row r="154" spans="2:23" ht="15.75">
      <c r="B154" s="41" t="s">
        <v>138</v>
      </c>
      <c r="C154" s="19">
        <f t="shared" si="138"/>
        <v>2000000</v>
      </c>
      <c r="D154" s="36"/>
      <c r="E154" s="61">
        <v>2000000</v>
      </c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</row>
    <row r="155" spans="2:23" ht="15.75">
      <c r="B155" s="49" t="s">
        <v>139</v>
      </c>
      <c r="C155" s="19">
        <f t="shared" si="138"/>
        <v>264300000</v>
      </c>
      <c r="D155" s="22">
        <f>D143+D144+D145+D146+D153+D154+D149+D152</f>
        <v>0</v>
      </c>
      <c r="E155" s="22">
        <f>E143+E144+E145+E146+E153+E154+E149+E152</f>
        <v>264300000</v>
      </c>
      <c r="F155" s="22">
        <f t="shared" ref="F155:W155" si="142">F143+F144+F145+F146+F153+F154+F149+F152</f>
        <v>0</v>
      </c>
      <c r="G155" s="22">
        <f t="shared" si="142"/>
        <v>0</v>
      </c>
      <c r="H155" s="22">
        <f t="shared" si="142"/>
        <v>0</v>
      </c>
      <c r="I155" s="22">
        <f t="shared" si="142"/>
        <v>0</v>
      </c>
      <c r="J155" s="22">
        <f t="shared" si="142"/>
        <v>0</v>
      </c>
      <c r="K155" s="22">
        <f t="shared" si="142"/>
        <v>0</v>
      </c>
      <c r="L155" s="22">
        <f t="shared" si="142"/>
        <v>0</v>
      </c>
      <c r="M155" s="22">
        <f t="shared" si="142"/>
        <v>0</v>
      </c>
      <c r="N155" s="22">
        <f t="shared" si="142"/>
        <v>0</v>
      </c>
      <c r="O155" s="22">
        <f t="shared" si="142"/>
        <v>0</v>
      </c>
      <c r="P155" s="22">
        <f t="shared" si="142"/>
        <v>0</v>
      </c>
      <c r="Q155" s="22">
        <f t="shared" si="142"/>
        <v>0</v>
      </c>
      <c r="R155" s="22">
        <f t="shared" si="142"/>
        <v>0</v>
      </c>
      <c r="S155" s="22">
        <f t="shared" si="142"/>
        <v>0</v>
      </c>
      <c r="T155" s="22">
        <f t="shared" si="142"/>
        <v>0</v>
      </c>
      <c r="U155" s="22">
        <f t="shared" si="142"/>
        <v>0</v>
      </c>
      <c r="V155" s="22">
        <f t="shared" si="142"/>
        <v>0</v>
      </c>
      <c r="W155" s="22">
        <f t="shared" si="142"/>
        <v>0</v>
      </c>
    </row>
    <row r="156" spans="2:23" ht="15.75">
      <c r="B156" s="5" t="s">
        <v>227</v>
      </c>
      <c r="C156" s="19">
        <f t="shared" si="138"/>
        <v>200000</v>
      </c>
      <c r="D156" s="23">
        <v>200000</v>
      </c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</row>
    <row r="157" spans="2:23" s="54" customFormat="1" ht="15.75">
      <c r="B157" s="41" t="s">
        <v>241</v>
      </c>
      <c r="C157" s="19">
        <f t="shared" si="138"/>
        <v>38700000</v>
      </c>
      <c r="D157" s="22">
        <f>SUM(D158:D169)</f>
        <v>1500000</v>
      </c>
      <c r="E157" s="22">
        <f t="shared" ref="E157:W157" si="143">SUM(E158:E169)</f>
        <v>0</v>
      </c>
      <c r="F157" s="22">
        <f t="shared" si="143"/>
        <v>37000000</v>
      </c>
      <c r="G157" s="22">
        <f t="shared" si="143"/>
        <v>0</v>
      </c>
      <c r="H157" s="22">
        <f t="shared" si="143"/>
        <v>0</v>
      </c>
      <c r="I157" s="22">
        <f t="shared" si="143"/>
        <v>0</v>
      </c>
      <c r="J157" s="22">
        <f t="shared" si="143"/>
        <v>0</v>
      </c>
      <c r="K157" s="22">
        <f t="shared" si="143"/>
        <v>0</v>
      </c>
      <c r="L157" s="22">
        <f t="shared" si="143"/>
        <v>0</v>
      </c>
      <c r="M157" s="22">
        <f t="shared" si="143"/>
        <v>0</v>
      </c>
      <c r="N157" s="22">
        <f t="shared" si="143"/>
        <v>0</v>
      </c>
      <c r="O157" s="22">
        <f t="shared" si="143"/>
        <v>200000</v>
      </c>
      <c r="P157" s="22">
        <f t="shared" si="143"/>
        <v>0</v>
      </c>
      <c r="Q157" s="22">
        <f t="shared" si="143"/>
        <v>0</v>
      </c>
      <c r="R157" s="22">
        <f t="shared" si="143"/>
        <v>0</v>
      </c>
      <c r="S157" s="22">
        <f t="shared" si="143"/>
        <v>0</v>
      </c>
      <c r="T157" s="22">
        <f t="shared" si="143"/>
        <v>0</v>
      </c>
      <c r="U157" s="22">
        <f t="shared" si="143"/>
        <v>0</v>
      </c>
      <c r="V157" s="22">
        <f t="shared" si="143"/>
        <v>0</v>
      </c>
      <c r="W157" s="22">
        <f t="shared" si="143"/>
        <v>0</v>
      </c>
    </row>
    <row r="158" spans="2:23" ht="15.75">
      <c r="B158" s="5" t="s">
        <v>242</v>
      </c>
      <c r="C158" s="19">
        <f t="shared" si="138"/>
        <v>0</v>
      </c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</row>
    <row r="159" spans="2:23" ht="15.75">
      <c r="B159" s="5" t="s">
        <v>243</v>
      </c>
      <c r="C159" s="19">
        <f t="shared" si="138"/>
        <v>0</v>
      </c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</row>
    <row r="160" spans="2:23" ht="15.75">
      <c r="B160" s="5" t="s">
        <v>244</v>
      </c>
      <c r="C160" s="19">
        <f t="shared" si="138"/>
        <v>0</v>
      </c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</row>
    <row r="161" spans="2:23" ht="15.75">
      <c r="B161" s="5" t="s">
        <v>245</v>
      </c>
      <c r="C161" s="19">
        <f t="shared" si="138"/>
        <v>0</v>
      </c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</row>
    <row r="162" spans="2:23" ht="15.75">
      <c r="B162" s="5" t="s">
        <v>246</v>
      </c>
      <c r="C162" s="19">
        <f t="shared" si="138"/>
        <v>0</v>
      </c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</row>
    <row r="163" spans="2:23" ht="15.75">
      <c r="B163" s="5" t="s">
        <v>247</v>
      </c>
      <c r="C163" s="19">
        <f t="shared" si="138"/>
        <v>0</v>
      </c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</row>
    <row r="164" spans="2:23" ht="15.75">
      <c r="B164" s="5" t="s">
        <v>248</v>
      </c>
      <c r="C164" s="19">
        <f t="shared" si="138"/>
        <v>0</v>
      </c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</row>
    <row r="165" spans="2:23" ht="15.75">
      <c r="B165" s="5" t="s">
        <v>286</v>
      </c>
      <c r="C165" s="19">
        <f t="shared" si="138"/>
        <v>1500000</v>
      </c>
      <c r="D165" s="23">
        <v>1500000</v>
      </c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</row>
    <row r="166" spans="2:23" ht="15.75">
      <c r="B166" s="5" t="s">
        <v>287</v>
      </c>
      <c r="C166" s="19">
        <f t="shared" si="138"/>
        <v>15000000</v>
      </c>
      <c r="D166" s="23"/>
      <c r="E166" s="23"/>
      <c r="F166" s="101">
        <f>15000000</f>
        <v>15000000</v>
      </c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</row>
    <row r="167" spans="2:23" ht="15.75">
      <c r="B167" s="5" t="s">
        <v>288</v>
      </c>
      <c r="C167" s="19">
        <f t="shared" si="138"/>
        <v>18000000</v>
      </c>
      <c r="D167" s="23"/>
      <c r="E167" s="23"/>
      <c r="F167" s="23">
        <f>13000000+5000000</f>
        <v>18000000</v>
      </c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</row>
    <row r="168" spans="2:23" ht="15.75">
      <c r="B168" s="5" t="s">
        <v>289</v>
      </c>
      <c r="C168" s="19">
        <f t="shared" si="138"/>
        <v>4000000</v>
      </c>
      <c r="D168" s="23"/>
      <c r="E168" s="23"/>
      <c r="F168" s="23">
        <v>4000000</v>
      </c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</row>
    <row r="169" spans="2:23" ht="15.75">
      <c r="B169" s="5" t="s">
        <v>290</v>
      </c>
      <c r="C169" s="19">
        <f t="shared" si="138"/>
        <v>200000</v>
      </c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>
        <v>200000</v>
      </c>
      <c r="P169" s="23"/>
      <c r="Q169" s="23"/>
      <c r="R169" s="23"/>
      <c r="S169" s="23"/>
      <c r="T169" s="23"/>
      <c r="U169" s="23"/>
      <c r="V169" s="23"/>
      <c r="W169" s="23"/>
    </row>
    <row r="170" spans="2:23" ht="47.25">
      <c r="B170" s="5" t="s">
        <v>291</v>
      </c>
      <c r="C170" s="19">
        <f t="shared" si="138"/>
        <v>740000</v>
      </c>
      <c r="D170" s="23"/>
      <c r="E170" s="23"/>
      <c r="F170" s="23">
        <v>500000</v>
      </c>
      <c r="G170" s="23"/>
      <c r="H170" s="23"/>
      <c r="I170" s="23"/>
      <c r="J170" s="23">
        <v>240000</v>
      </c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</row>
    <row r="171" spans="2:23" ht="15.75">
      <c r="B171" s="5" t="s">
        <v>143</v>
      </c>
      <c r="C171" s="19">
        <f t="shared" si="138"/>
        <v>0</v>
      </c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</row>
    <row r="172" spans="2:23" ht="31.5">
      <c r="B172" s="5" t="s">
        <v>226</v>
      </c>
      <c r="C172" s="19">
        <f t="shared" si="138"/>
        <v>0</v>
      </c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</row>
    <row r="173" spans="2:23" ht="15.75">
      <c r="B173" s="5" t="s">
        <v>145</v>
      </c>
      <c r="C173" s="19">
        <f t="shared" si="138"/>
        <v>13402800</v>
      </c>
      <c r="D173" s="23">
        <f>(D156+D157+D170+D171+D172)*0.27</f>
        <v>459000.00000000006</v>
      </c>
      <c r="E173" s="23">
        <f t="shared" ref="E173:W173" si="144">(E156+E157+E170+E171+E172)*0.27</f>
        <v>0</v>
      </c>
      <c r="F173" s="23">
        <f>(F156+F157+F170+F171+F172+F192)*0.27</f>
        <v>12825000</v>
      </c>
      <c r="G173" s="23">
        <f t="shared" si="144"/>
        <v>0</v>
      </c>
      <c r="H173" s="23">
        <f t="shared" si="144"/>
        <v>0</v>
      </c>
      <c r="I173" s="23">
        <f t="shared" si="144"/>
        <v>0</v>
      </c>
      <c r="J173" s="23">
        <f t="shared" si="144"/>
        <v>64800.000000000007</v>
      </c>
      <c r="K173" s="23">
        <f t="shared" si="144"/>
        <v>0</v>
      </c>
      <c r="L173" s="23">
        <f t="shared" si="144"/>
        <v>0</v>
      </c>
      <c r="M173" s="23">
        <f t="shared" si="144"/>
        <v>0</v>
      </c>
      <c r="N173" s="23">
        <f t="shared" si="144"/>
        <v>0</v>
      </c>
      <c r="O173" s="23">
        <f t="shared" si="144"/>
        <v>54000</v>
      </c>
      <c r="P173" s="23">
        <f t="shared" si="144"/>
        <v>0</v>
      </c>
      <c r="Q173" s="23">
        <f t="shared" si="144"/>
        <v>0</v>
      </c>
      <c r="R173" s="23">
        <f t="shared" si="144"/>
        <v>0</v>
      </c>
      <c r="S173" s="23">
        <f t="shared" si="144"/>
        <v>0</v>
      </c>
      <c r="T173" s="23">
        <f t="shared" si="144"/>
        <v>0</v>
      </c>
      <c r="U173" s="23">
        <f t="shared" si="144"/>
        <v>0</v>
      </c>
      <c r="V173" s="23">
        <f t="shared" si="144"/>
        <v>0</v>
      </c>
      <c r="W173" s="23">
        <f t="shared" si="144"/>
        <v>0</v>
      </c>
    </row>
    <row r="174" spans="2:23" ht="15.75">
      <c r="B174" s="5" t="s">
        <v>146</v>
      </c>
      <c r="C174" s="19">
        <f t="shared" si="138"/>
        <v>0</v>
      </c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</row>
    <row r="175" spans="2:23" ht="15.75">
      <c r="B175" s="5" t="s">
        <v>147</v>
      </c>
      <c r="C175" s="19">
        <f t="shared" si="138"/>
        <v>300000</v>
      </c>
      <c r="D175" s="23">
        <v>300000</v>
      </c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</row>
    <row r="176" spans="2:23" ht="15.75">
      <c r="B176" s="5" t="s">
        <v>148</v>
      </c>
      <c r="C176" s="19">
        <f t="shared" si="138"/>
        <v>0</v>
      </c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</row>
    <row r="177" spans="2:23" ht="15.75">
      <c r="B177" s="4" t="s">
        <v>312</v>
      </c>
      <c r="C177" s="19">
        <f t="shared" ref="C177" si="145">SUM(D177:W177)</f>
        <v>0</v>
      </c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</row>
    <row r="178" spans="2:23" ht="15.75">
      <c r="B178" s="4" t="s">
        <v>313</v>
      </c>
      <c r="C178" s="19">
        <f t="shared" si="138"/>
        <v>900000</v>
      </c>
      <c r="D178" s="23">
        <v>800000</v>
      </c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>
        <v>100000</v>
      </c>
      <c r="P178" s="23"/>
      <c r="Q178" s="23"/>
      <c r="R178" s="23"/>
      <c r="S178" s="23"/>
      <c r="T178" s="23"/>
      <c r="U178" s="23"/>
      <c r="V178" s="23"/>
      <c r="W178" s="23"/>
    </row>
    <row r="179" spans="2:23" ht="15.75">
      <c r="B179" s="49" t="s">
        <v>149</v>
      </c>
      <c r="C179" s="19">
        <f t="shared" si="138"/>
        <v>54242800</v>
      </c>
      <c r="D179" s="22">
        <f>D156+D157+D170+D171+D172+D173+D174+D175+D176+D178</f>
        <v>3259000</v>
      </c>
      <c r="E179" s="22">
        <f t="shared" ref="E179:W179" si="146">E156+E157+E170+E171+E172+E173+E174+E175+E176+E178</f>
        <v>0</v>
      </c>
      <c r="F179" s="22">
        <f t="shared" si="146"/>
        <v>50325000</v>
      </c>
      <c r="G179" s="22">
        <f t="shared" si="146"/>
        <v>0</v>
      </c>
      <c r="H179" s="22">
        <f t="shared" si="146"/>
        <v>0</v>
      </c>
      <c r="I179" s="22">
        <f t="shared" si="146"/>
        <v>0</v>
      </c>
      <c r="J179" s="22">
        <f t="shared" si="146"/>
        <v>304800</v>
      </c>
      <c r="K179" s="22">
        <f t="shared" si="146"/>
        <v>0</v>
      </c>
      <c r="L179" s="22">
        <f t="shared" si="146"/>
        <v>0</v>
      </c>
      <c r="M179" s="22">
        <f t="shared" si="146"/>
        <v>0</v>
      </c>
      <c r="N179" s="22">
        <f t="shared" si="146"/>
        <v>0</v>
      </c>
      <c r="O179" s="22">
        <f t="shared" si="146"/>
        <v>354000</v>
      </c>
      <c r="P179" s="22">
        <f t="shared" si="146"/>
        <v>0</v>
      </c>
      <c r="Q179" s="22">
        <f t="shared" si="146"/>
        <v>0</v>
      </c>
      <c r="R179" s="22">
        <f t="shared" si="146"/>
        <v>0</v>
      </c>
      <c r="S179" s="22">
        <f t="shared" si="146"/>
        <v>0</v>
      </c>
      <c r="T179" s="22">
        <f t="shared" si="146"/>
        <v>0</v>
      </c>
      <c r="U179" s="22">
        <f t="shared" si="146"/>
        <v>0</v>
      </c>
      <c r="V179" s="22">
        <f t="shared" si="146"/>
        <v>0</v>
      </c>
      <c r="W179" s="22">
        <f t="shared" si="146"/>
        <v>0</v>
      </c>
    </row>
    <row r="180" spans="2:23" ht="47.25">
      <c r="B180" s="5" t="s">
        <v>150</v>
      </c>
      <c r="C180" s="19">
        <f t="shared" si="138"/>
        <v>0</v>
      </c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</row>
    <row r="181" spans="2:23" ht="47.25">
      <c r="B181" s="5" t="s">
        <v>151</v>
      </c>
      <c r="C181" s="19">
        <f t="shared" si="138"/>
        <v>0</v>
      </c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</row>
    <row r="182" spans="2:23" ht="34.5" customHeight="1">
      <c r="B182" s="5" t="s">
        <v>152</v>
      </c>
      <c r="C182" s="19">
        <f t="shared" si="138"/>
        <v>0</v>
      </c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</row>
    <row r="183" spans="2:23" ht="15.75">
      <c r="B183" s="49" t="s">
        <v>153</v>
      </c>
      <c r="C183" s="19">
        <f t="shared" si="138"/>
        <v>0</v>
      </c>
      <c r="D183" s="22">
        <f>SUM(D180:D182)</f>
        <v>0</v>
      </c>
      <c r="E183" s="22">
        <f t="shared" ref="E183" si="147">SUM(E180:E182)</f>
        <v>0</v>
      </c>
      <c r="F183" s="22">
        <f>SUM(F180:F182)</f>
        <v>0</v>
      </c>
      <c r="G183" s="22">
        <f t="shared" ref="G183:J183" si="148">SUM(G180:G182)</f>
        <v>0</v>
      </c>
      <c r="H183" s="22">
        <f>SUM(H180:H182)</f>
        <v>0</v>
      </c>
      <c r="I183" s="22">
        <f t="shared" si="148"/>
        <v>0</v>
      </c>
      <c r="J183" s="22">
        <f t="shared" si="148"/>
        <v>0</v>
      </c>
      <c r="K183" s="22">
        <f t="shared" ref="K183:U183" si="149">SUM(K180:K182)</f>
        <v>0</v>
      </c>
      <c r="L183" s="22">
        <f t="shared" si="149"/>
        <v>0</v>
      </c>
      <c r="M183" s="22">
        <f t="shared" si="149"/>
        <v>0</v>
      </c>
      <c r="N183" s="22">
        <f t="shared" si="149"/>
        <v>0</v>
      </c>
      <c r="O183" s="22">
        <f t="shared" si="149"/>
        <v>0</v>
      </c>
      <c r="P183" s="22">
        <f t="shared" si="149"/>
        <v>0</v>
      </c>
      <c r="Q183" s="22">
        <f t="shared" si="149"/>
        <v>0</v>
      </c>
      <c r="R183" s="22">
        <f t="shared" si="149"/>
        <v>0</v>
      </c>
      <c r="S183" s="22">
        <f t="shared" si="149"/>
        <v>0</v>
      </c>
      <c r="T183" s="22">
        <f t="shared" si="149"/>
        <v>0</v>
      </c>
      <c r="U183" s="22">
        <f t="shared" si="149"/>
        <v>0</v>
      </c>
      <c r="V183" s="22">
        <f t="shared" ref="V183:W183" si="150">SUM(V180:V182)</f>
        <v>0</v>
      </c>
      <c r="W183" s="22">
        <f t="shared" si="150"/>
        <v>0</v>
      </c>
    </row>
    <row r="184" spans="2:23" ht="31.5">
      <c r="B184" s="50" t="s">
        <v>154</v>
      </c>
      <c r="C184" s="19">
        <f t="shared" si="138"/>
        <v>542359484</v>
      </c>
      <c r="D184" s="22">
        <f t="shared" ref="D184:W184" si="151">D140+D155+D179+D183</f>
        <v>3259000</v>
      </c>
      <c r="E184" s="22">
        <f t="shared" si="151"/>
        <v>264300000</v>
      </c>
      <c r="F184" s="22">
        <f t="shared" si="151"/>
        <v>50325000</v>
      </c>
      <c r="G184" s="22">
        <f t="shared" si="151"/>
        <v>215816684</v>
      </c>
      <c r="H184" s="22">
        <f t="shared" si="151"/>
        <v>8000000</v>
      </c>
      <c r="I184" s="22">
        <f t="shared" si="151"/>
        <v>0</v>
      </c>
      <c r="J184" s="22">
        <f t="shared" si="151"/>
        <v>304800</v>
      </c>
      <c r="K184" s="22">
        <f t="shared" si="151"/>
        <v>0</v>
      </c>
      <c r="L184" s="22">
        <f t="shared" si="151"/>
        <v>0</v>
      </c>
      <c r="M184" s="22">
        <f t="shared" si="151"/>
        <v>0</v>
      </c>
      <c r="N184" s="22">
        <f t="shared" si="151"/>
        <v>0</v>
      </c>
      <c r="O184" s="22">
        <f t="shared" si="151"/>
        <v>354000</v>
      </c>
      <c r="P184" s="22">
        <f t="shared" si="151"/>
        <v>0</v>
      </c>
      <c r="Q184" s="22">
        <f t="shared" si="151"/>
        <v>0</v>
      </c>
      <c r="R184" s="22">
        <f t="shared" si="151"/>
        <v>0</v>
      </c>
      <c r="S184" s="22">
        <f t="shared" si="151"/>
        <v>0</v>
      </c>
      <c r="T184" s="22">
        <f t="shared" si="151"/>
        <v>0</v>
      </c>
      <c r="U184" s="22">
        <f t="shared" si="151"/>
        <v>0</v>
      </c>
      <c r="V184" s="22">
        <f t="shared" si="151"/>
        <v>0</v>
      </c>
      <c r="W184" s="22">
        <f t="shared" si="151"/>
        <v>0</v>
      </c>
    </row>
    <row r="185" spans="2:23" ht="31.5">
      <c r="B185" s="5" t="s">
        <v>155</v>
      </c>
      <c r="C185" s="19">
        <f t="shared" si="138"/>
        <v>0</v>
      </c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</row>
    <row r="186" spans="2:23" ht="47.25">
      <c r="B186" s="5" t="s">
        <v>156</v>
      </c>
      <c r="C186" s="19">
        <f t="shared" si="138"/>
        <v>0</v>
      </c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</row>
    <row r="187" spans="2:23" ht="47.25">
      <c r="B187" s="5" t="s">
        <v>157</v>
      </c>
      <c r="C187" s="19">
        <f t="shared" si="138"/>
        <v>0</v>
      </c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</row>
    <row r="188" spans="2:23" ht="47.25">
      <c r="B188" s="5" t="s">
        <v>158</v>
      </c>
      <c r="C188" s="19">
        <f t="shared" si="138"/>
        <v>0</v>
      </c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</row>
    <row r="189" spans="2:23" ht="47.25">
      <c r="B189" s="99" t="s">
        <v>417</v>
      </c>
      <c r="C189" s="19">
        <f t="shared" si="138"/>
        <v>26522000</v>
      </c>
      <c r="D189" s="23"/>
      <c r="E189" s="23"/>
      <c r="F189" s="23"/>
      <c r="G189" s="23"/>
      <c r="H189" s="98">
        <f>15000000+11522000</f>
        <v>26522000</v>
      </c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</row>
    <row r="190" spans="2:23" ht="31.5">
      <c r="B190" s="49" t="s">
        <v>160</v>
      </c>
      <c r="C190" s="19">
        <f t="shared" si="138"/>
        <v>26522000</v>
      </c>
      <c r="D190" s="22">
        <f>SUM(D185:D189)</f>
        <v>0</v>
      </c>
      <c r="E190" s="22">
        <f t="shared" ref="E190" si="152">SUM(E185:E189)</f>
        <v>0</v>
      </c>
      <c r="F190" s="22">
        <f>SUM(F185:F189)</f>
        <v>0</v>
      </c>
      <c r="G190" s="22">
        <f t="shared" ref="G190:J190" si="153">SUM(G185:G189)</f>
        <v>0</v>
      </c>
      <c r="H190" s="22">
        <f>SUM(H185:H189)</f>
        <v>26522000</v>
      </c>
      <c r="I190" s="22">
        <f t="shared" si="153"/>
        <v>0</v>
      </c>
      <c r="J190" s="22">
        <f t="shared" si="153"/>
        <v>0</v>
      </c>
      <c r="K190" s="22">
        <f t="shared" ref="K190:U190" si="154">SUM(K185:K189)</f>
        <v>0</v>
      </c>
      <c r="L190" s="22">
        <f t="shared" si="154"/>
        <v>0</v>
      </c>
      <c r="M190" s="22">
        <f t="shared" si="154"/>
        <v>0</v>
      </c>
      <c r="N190" s="22">
        <f t="shared" si="154"/>
        <v>0</v>
      </c>
      <c r="O190" s="22">
        <f t="shared" si="154"/>
        <v>0</v>
      </c>
      <c r="P190" s="22">
        <f t="shared" si="154"/>
        <v>0</v>
      </c>
      <c r="Q190" s="22">
        <f t="shared" si="154"/>
        <v>0</v>
      </c>
      <c r="R190" s="22">
        <f t="shared" si="154"/>
        <v>0</v>
      </c>
      <c r="S190" s="22">
        <f t="shared" si="154"/>
        <v>0</v>
      </c>
      <c r="T190" s="22">
        <f t="shared" si="154"/>
        <v>0</v>
      </c>
      <c r="U190" s="22">
        <f t="shared" si="154"/>
        <v>0</v>
      </c>
      <c r="V190" s="22">
        <f t="shared" ref="V190:W190" si="155">SUM(V185:V189)</f>
        <v>0</v>
      </c>
      <c r="W190" s="22">
        <f t="shared" si="155"/>
        <v>0</v>
      </c>
    </row>
    <row r="191" spans="2:23" ht="15.75">
      <c r="B191" s="5" t="s">
        <v>161</v>
      </c>
      <c r="C191" s="19">
        <f t="shared" si="138"/>
        <v>0</v>
      </c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</row>
    <row r="192" spans="2:23" ht="31.5">
      <c r="B192" s="99" t="s">
        <v>365</v>
      </c>
      <c r="C192" s="19">
        <f t="shared" si="138"/>
        <v>10000000</v>
      </c>
      <c r="D192" s="23"/>
      <c r="E192" s="23"/>
      <c r="F192" s="98">
        <v>10000000</v>
      </c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</row>
    <row r="193" spans="2:23" ht="15.75">
      <c r="B193" s="5" t="s">
        <v>163</v>
      </c>
      <c r="C193" s="19">
        <f t="shared" si="138"/>
        <v>0</v>
      </c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</row>
    <row r="194" spans="2:23" ht="15.75">
      <c r="B194" s="5" t="s">
        <v>164</v>
      </c>
      <c r="C194" s="19">
        <f t="shared" si="138"/>
        <v>0</v>
      </c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</row>
    <row r="195" spans="2:23" ht="31.5">
      <c r="B195" s="5" t="s">
        <v>165</v>
      </c>
      <c r="C195" s="19">
        <f t="shared" si="138"/>
        <v>0</v>
      </c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</row>
    <row r="196" spans="2:23" ht="15.75">
      <c r="B196" s="49" t="s">
        <v>166</v>
      </c>
      <c r="C196" s="19">
        <f t="shared" si="138"/>
        <v>10000000</v>
      </c>
      <c r="D196" s="22">
        <f>SUM(D191:D195)</f>
        <v>0</v>
      </c>
      <c r="E196" s="22">
        <f t="shared" ref="E196" si="156">SUM(E191:E195)</f>
        <v>0</v>
      </c>
      <c r="F196" s="22">
        <f>SUM(F191:F195)</f>
        <v>10000000</v>
      </c>
      <c r="G196" s="22">
        <f t="shared" ref="G196:J196" si="157">SUM(G191:G195)</f>
        <v>0</v>
      </c>
      <c r="H196" s="22">
        <f>SUM(H191:H195)</f>
        <v>0</v>
      </c>
      <c r="I196" s="22">
        <f t="shared" si="157"/>
        <v>0</v>
      </c>
      <c r="J196" s="22">
        <f t="shared" si="157"/>
        <v>0</v>
      </c>
      <c r="K196" s="22">
        <f t="shared" ref="K196:U196" si="158">SUM(K191:K195)</f>
        <v>0</v>
      </c>
      <c r="L196" s="22">
        <f t="shared" si="158"/>
        <v>0</v>
      </c>
      <c r="M196" s="22">
        <f t="shared" si="158"/>
        <v>0</v>
      </c>
      <c r="N196" s="22">
        <f t="shared" si="158"/>
        <v>0</v>
      </c>
      <c r="O196" s="22">
        <f t="shared" si="158"/>
        <v>0</v>
      </c>
      <c r="P196" s="22">
        <f t="shared" si="158"/>
        <v>0</v>
      </c>
      <c r="Q196" s="22">
        <f t="shared" si="158"/>
        <v>0</v>
      </c>
      <c r="R196" s="22">
        <f t="shared" si="158"/>
        <v>0</v>
      </c>
      <c r="S196" s="22">
        <f t="shared" si="158"/>
        <v>0</v>
      </c>
      <c r="T196" s="22">
        <f t="shared" si="158"/>
        <v>0</v>
      </c>
      <c r="U196" s="22">
        <f t="shared" si="158"/>
        <v>0</v>
      </c>
      <c r="V196" s="22">
        <f t="shared" ref="V196:W196" si="159">SUM(V191:V195)</f>
        <v>0</v>
      </c>
      <c r="W196" s="22">
        <f t="shared" si="159"/>
        <v>0</v>
      </c>
    </row>
    <row r="197" spans="2:23" ht="47.25">
      <c r="B197" s="5" t="s">
        <v>167</v>
      </c>
      <c r="C197" s="19">
        <f t="shared" si="138"/>
        <v>0</v>
      </c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</row>
    <row r="198" spans="2:23" ht="47.25">
      <c r="B198" s="5" t="s">
        <v>168</v>
      </c>
      <c r="C198" s="19">
        <f t="shared" si="138"/>
        <v>0</v>
      </c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</row>
    <row r="199" spans="2:23" ht="63">
      <c r="B199" s="5" t="s">
        <v>414</v>
      </c>
      <c r="C199" s="19">
        <f t="shared" si="138"/>
        <v>5000000</v>
      </c>
      <c r="D199" s="23"/>
      <c r="E199" s="23"/>
      <c r="F199" s="23">
        <v>5000000</v>
      </c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</row>
    <row r="200" spans="2:23" ht="15.75">
      <c r="B200" s="49" t="s">
        <v>170</v>
      </c>
      <c r="C200" s="19">
        <f t="shared" si="138"/>
        <v>5000000</v>
      </c>
      <c r="D200" s="22">
        <f>SUM(D197:D199)</f>
        <v>0</v>
      </c>
      <c r="E200" s="22">
        <f t="shared" ref="E200" si="160">SUM(E197:E199)</f>
        <v>0</v>
      </c>
      <c r="F200" s="22">
        <f>SUM(F197:F199)</f>
        <v>5000000</v>
      </c>
      <c r="G200" s="22">
        <f t="shared" ref="G200:J200" si="161">SUM(G197:G199)</f>
        <v>0</v>
      </c>
      <c r="H200" s="22">
        <f>SUM(H197:H199)</f>
        <v>0</v>
      </c>
      <c r="I200" s="22">
        <f t="shared" si="161"/>
        <v>0</v>
      </c>
      <c r="J200" s="22">
        <f t="shared" si="161"/>
        <v>0</v>
      </c>
      <c r="K200" s="22">
        <f t="shared" ref="K200:U200" si="162">SUM(K197:K199)</f>
        <v>0</v>
      </c>
      <c r="L200" s="22">
        <f t="shared" si="162"/>
        <v>0</v>
      </c>
      <c r="M200" s="22">
        <f t="shared" si="162"/>
        <v>0</v>
      </c>
      <c r="N200" s="22">
        <f t="shared" si="162"/>
        <v>0</v>
      </c>
      <c r="O200" s="22">
        <f t="shared" si="162"/>
        <v>0</v>
      </c>
      <c r="P200" s="22">
        <f t="shared" si="162"/>
        <v>0</v>
      </c>
      <c r="Q200" s="22">
        <f t="shared" si="162"/>
        <v>0</v>
      </c>
      <c r="R200" s="22">
        <f t="shared" si="162"/>
        <v>0</v>
      </c>
      <c r="S200" s="22">
        <f t="shared" si="162"/>
        <v>0</v>
      </c>
      <c r="T200" s="22">
        <f t="shared" si="162"/>
        <v>0</v>
      </c>
      <c r="U200" s="22">
        <f t="shared" si="162"/>
        <v>0</v>
      </c>
      <c r="V200" s="22">
        <f t="shared" ref="V200:W200" si="163">SUM(V197:V199)</f>
        <v>0</v>
      </c>
      <c r="W200" s="22">
        <f t="shared" si="163"/>
        <v>0</v>
      </c>
    </row>
    <row r="201" spans="2:23" ht="31.5">
      <c r="B201" s="50" t="s">
        <v>171</v>
      </c>
      <c r="C201" s="19">
        <f t="shared" si="138"/>
        <v>41522000</v>
      </c>
      <c r="D201" s="27">
        <f>D190+D196+D200</f>
        <v>0</v>
      </c>
      <c r="E201" s="27">
        <f t="shared" ref="E201" si="164">E190+E196+E200</f>
        <v>0</v>
      </c>
      <c r="F201" s="27">
        <f>F190+F196+F200</f>
        <v>15000000</v>
      </c>
      <c r="G201" s="27">
        <f t="shared" ref="G201:J201" si="165">G190+G196+G200</f>
        <v>0</v>
      </c>
      <c r="H201" s="27">
        <f>H190+H196+H200</f>
        <v>26522000</v>
      </c>
      <c r="I201" s="27">
        <f t="shared" si="165"/>
        <v>0</v>
      </c>
      <c r="J201" s="27">
        <f t="shared" si="165"/>
        <v>0</v>
      </c>
      <c r="K201" s="27">
        <f t="shared" ref="K201:U201" si="166">K190+K196+K200</f>
        <v>0</v>
      </c>
      <c r="L201" s="27">
        <f t="shared" si="166"/>
        <v>0</v>
      </c>
      <c r="M201" s="27">
        <f t="shared" si="166"/>
        <v>0</v>
      </c>
      <c r="N201" s="27">
        <f t="shared" si="166"/>
        <v>0</v>
      </c>
      <c r="O201" s="27">
        <f t="shared" si="166"/>
        <v>0</v>
      </c>
      <c r="P201" s="27">
        <f t="shared" si="166"/>
        <v>0</v>
      </c>
      <c r="Q201" s="27">
        <f t="shared" si="166"/>
        <v>0</v>
      </c>
      <c r="R201" s="27">
        <f t="shared" si="166"/>
        <v>0</v>
      </c>
      <c r="S201" s="27">
        <f t="shared" si="166"/>
        <v>0</v>
      </c>
      <c r="T201" s="27">
        <f t="shared" si="166"/>
        <v>0</v>
      </c>
      <c r="U201" s="27">
        <f t="shared" si="166"/>
        <v>0</v>
      </c>
      <c r="V201" s="27">
        <f t="shared" ref="V201:W201" si="167">V190+V196+V200</f>
        <v>0</v>
      </c>
      <c r="W201" s="27">
        <f t="shared" si="167"/>
        <v>0</v>
      </c>
    </row>
    <row r="202" spans="2:23" s="59" customFormat="1" ht="15.75">
      <c r="B202" s="60" t="s">
        <v>172</v>
      </c>
      <c r="C202" s="19">
        <f t="shared" si="138"/>
        <v>583881484</v>
      </c>
      <c r="D202" s="22">
        <f>D184+D201</f>
        <v>3259000</v>
      </c>
      <c r="E202" s="22">
        <f t="shared" ref="E202" si="168">E184+E201</f>
        <v>264300000</v>
      </c>
      <c r="F202" s="22">
        <f>F184+F201</f>
        <v>65325000</v>
      </c>
      <c r="G202" s="22">
        <f t="shared" ref="G202:J202" si="169">G184+G201</f>
        <v>215816684</v>
      </c>
      <c r="H202" s="22">
        <f>H184+H201</f>
        <v>34522000</v>
      </c>
      <c r="I202" s="22">
        <f t="shared" si="169"/>
        <v>0</v>
      </c>
      <c r="J202" s="22">
        <f t="shared" si="169"/>
        <v>304800</v>
      </c>
      <c r="K202" s="22">
        <f t="shared" ref="K202:U202" si="170">K184+K201</f>
        <v>0</v>
      </c>
      <c r="L202" s="22">
        <f t="shared" si="170"/>
        <v>0</v>
      </c>
      <c r="M202" s="22">
        <f t="shared" si="170"/>
        <v>0</v>
      </c>
      <c r="N202" s="22">
        <f t="shared" si="170"/>
        <v>0</v>
      </c>
      <c r="O202" s="22">
        <f t="shared" si="170"/>
        <v>354000</v>
      </c>
      <c r="P202" s="22">
        <f t="shared" si="170"/>
        <v>0</v>
      </c>
      <c r="Q202" s="22">
        <f t="shared" si="170"/>
        <v>0</v>
      </c>
      <c r="R202" s="22">
        <f t="shared" si="170"/>
        <v>0</v>
      </c>
      <c r="S202" s="22">
        <f t="shared" si="170"/>
        <v>0</v>
      </c>
      <c r="T202" s="22">
        <f t="shared" si="170"/>
        <v>0</v>
      </c>
      <c r="U202" s="22">
        <f t="shared" si="170"/>
        <v>0</v>
      </c>
      <c r="V202" s="22">
        <f t="shared" ref="V202:W202" si="171">V184+V201</f>
        <v>0</v>
      </c>
      <c r="W202" s="22">
        <f t="shared" si="171"/>
        <v>0</v>
      </c>
    </row>
    <row r="203" spans="2:23" ht="37.5">
      <c r="B203" s="52" t="s">
        <v>173</v>
      </c>
      <c r="C203" s="19">
        <f t="shared" si="138"/>
        <v>280818548.25666672</v>
      </c>
      <c r="D203" s="38">
        <f t="shared" ref="D203:W203" si="172">D184-D79</f>
        <v>-47648830</v>
      </c>
      <c r="E203" s="38">
        <f t="shared" si="172"/>
        <v>264300000</v>
      </c>
      <c r="F203" s="38">
        <f t="shared" si="172"/>
        <v>25647999.59</v>
      </c>
      <c r="G203" s="38">
        <f t="shared" si="172"/>
        <v>215816684</v>
      </c>
      <c r="H203" s="38">
        <f t="shared" si="172"/>
        <v>-33230867</v>
      </c>
      <c r="I203" s="38">
        <f t="shared" si="172"/>
        <v>0</v>
      </c>
      <c r="J203" s="38">
        <f t="shared" si="172"/>
        <v>-31695200</v>
      </c>
      <c r="K203" s="38">
        <f t="shared" si="172"/>
        <v>-1719580</v>
      </c>
      <c r="L203" s="38">
        <f t="shared" si="172"/>
        <v>-8261800</v>
      </c>
      <c r="M203" s="38">
        <f t="shared" si="172"/>
        <v>-8000000</v>
      </c>
      <c r="N203" s="38">
        <f t="shared" si="172"/>
        <v>-3885100</v>
      </c>
      <c r="O203" s="38">
        <f t="shared" si="172"/>
        <v>-24756550</v>
      </c>
      <c r="P203" s="38">
        <f t="shared" si="172"/>
        <v>-7000000</v>
      </c>
      <c r="Q203" s="38">
        <f t="shared" si="172"/>
        <v>-26500000</v>
      </c>
      <c r="R203" s="38">
        <f t="shared" si="172"/>
        <v>-24490000</v>
      </c>
      <c r="S203" s="38">
        <f t="shared" si="172"/>
        <v>-500000</v>
      </c>
      <c r="T203" s="38">
        <f t="shared" si="172"/>
        <v>-4000000</v>
      </c>
      <c r="U203" s="38">
        <f t="shared" si="172"/>
        <v>-3258208.333333333</v>
      </c>
      <c r="V203" s="38">
        <f t="shared" si="172"/>
        <v>0</v>
      </c>
      <c r="W203" s="38">
        <f t="shared" si="172"/>
        <v>0</v>
      </c>
    </row>
    <row r="204" spans="2:23" ht="37.5">
      <c r="B204" s="52" t="s">
        <v>174</v>
      </c>
      <c r="C204" s="19">
        <f t="shared" si="138"/>
        <v>-528387371.75</v>
      </c>
      <c r="D204" s="38">
        <f t="shared" ref="D204:W204" si="173">D201-D102</f>
        <v>0</v>
      </c>
      <c r="E204" s="38">
        <f t="shared" si="173"/>
        <v>0</v>
      </c>
      <c r="F204" s="38">
        <f t="shared" si="173"/>
        <v>-554909371.75</v>
      </c>
      <c r="G204" s="38">
        <f t="shared" si="173"/>
        <v>0</v>
      </c>
      <c r="H204" s="38">
        <f t="shared" si="173"/>
        <v>26522000</v>
      </c>
      <c r="I204" s="38">
        <f t="shared" si="173"/>
        <v>0</v>
      </c>
      <c r="J204" s="38">
        <f t="shared" si="173"/>
        <v>0</v>
      </c>
      <c r="K204" s="38">
        <f t="shared" si="173"/>
        <v>0</v>
      </c>
      <c r="L204" s="38">
        <f t="shared" si="173"/>
        <v>0</v>
      </c>
      <c r="M204" s="38">
        <f t="shared" si="173"/>
        <v>0</v>
      </c>
      <c r="N204" s="38">
        <f t="shared" si="173"/>
        <v>0</v>
      </c>
      <c r="O204" s="38">
        <f t="shared" si="173"/>
        <v>0</v>
      </c>
      <c r="P204" s="38">
        <f t="shared" si="173"/>
        <v>0</v>
      </c>
      <c r="Q204" s="38">
        <f t="shared" si="173"/>
        <v>0</v>
      </c>
      <c r="R204" s="38">
        <f t="shared" si="173"/>
        <v>0</v>
      </c>
      <c r="S204" s="38">
        <f t="shared" si="173"/>
        <v>0</v>
      </c>
      <c r="T204" s="38">
        <f t="shared" si="173"/>
        <v>0</v>
      </c>
      <c r="U204" s="38">
        <f t="shared" si="173"/>
        <v>0</v>
      </c>
      <c r="V204" s="38">
        <f t="shared" si="173"/>
        <v>0</v>
      </c>
      <c r="W204" s="38">
        <f t="shared" si="173"/>
        <v>0</v>
      </c>
    </row>
    <row r="205" spans="2:23" ht="31.5">
      <c r="B205" s="5" t="s">
        <v>175</v>
      </c>
      <c r="C205" s="19">
        <f t="shared" ref="C205:C232" si="174">SUM(D205:W205)</f>
        <v>0</v>
      </c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</row>
    <row r="206" spans="2:23" ht="31.5">
      <c r="B206" s="5" t="s">
        <v>176</v>
      </c>
      <c r="C206" s="19">
        <f t="shared" si="174"/>
        <v>0</v>
      </c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</row>
    <row r="207" spans="2:23" ht="31.5">
      <c r="B207" s="5" t="s">
        <v>177</v>
      </c>
      <c r="C207" s="19">
        <f t="shared" si="174"/>
        <v>0</v>
      </c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</row>
    <row r="208" spans="2:23" ht="31.5">
      <c r="B208" s="5" t="s">
        <v>178</v>
      </c>
      <c r="C208" s="19">
        <f t="shared" si="174"/>
        <v>0</v>
      </c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</row>
    <row r="209" spans="2:23" ht="31.5">
      <c r="B209" s="5" t="s">
        <v>179</v>
      </c>
      <c r="C209" s="19">
        <f t="shared" si="174"/>
        <v>0</v>
      </c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</row>
    <row r="210" spans="2:23" ht="31.5">
      <c r="B210" s="5" t="s">
        <v>180</v>
      </c>
      <c r="C210" s="19">
        <f t="shared" si="174"/>
        <v>0</v>
      </c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</row>
    <row r="211" spans="2:23" ht="31.5">
      <c r="B211" s="5" t="s">
        <v>181</v>
      </c>
      <c r="C211" s="19">
        <f t="shared" si="174"/>
        <v>0</v>
      </c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</row>
    <row r="212" spans="2:23" ht="31.5">
      <c r="B212" s="5" t="s">
        <v>182</v>
      </c>
      <c r="C212" s="19">
        <f t="shared" si="174"/>
        <v>0</v>
      </c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</row>
    <row r="213" spans="2:23" ht="15.75">
      <c r="B213" s="5" t="s">
        <v>183</v>
      </c>
      <c r="C213" s="19">
        <f t="shared" si="174"/>
        <v>29960000</v>
      </c>
      <c r="D213" s="23"/>
      <c r="E213" s="23"/>
      <c r="F213" s="23"/>
      <c r="G213" s="23"/>
      <c r="H213" s="67">
        <f>29960000</f>
        <v>29960000</v>
      </c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</row>
    <row r="214" spans="2:23" ht="31.5">
      <c r="B214" s="5" t="s">
        <v>184</v>
      </c>
      <c r="C214" s="19">
        <f t="shared" si="174"/>
        <v>492996498</v>
      </c>
      <c r="D214" s="23"/>
      <c r="E214" s="23"/>
      <c r="F214" s="23"/>
      <c r="G214" s="23"/>
      <c r="H214" s="101">
        <f>473400+492523098</f>
        <v>492996498</v>
      </c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</row>
    <row r="215" spans="2:23" ht="31.5">
      <c r="B215" s="5" t="s">
        <v>185</v>
      </c>
      <c r="C215" s="19">
        <f t="shared" si="174"/>
        <v>0</v>
      </c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</row>
    <row r="216" spans="2:23" ht="31.5">
      <c r="B216" s="5" t="s">
        <v>186</v>
      </c>
      <c r="C216" s="19">
        <f t="shared" si="174"/>
        <v>0</v>
      </c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</row>
    <row r="217" spans="2:23" ht="31.5">
      <c r="B217" s="5" t="s">
        <v>187</v>
      </c>
      <c r="C217" s="19">
        <f t="shared" si="174"/>
        <v>0</v>
      </c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</row>
    <row r="218" spans="2:23" ht="15.75">
      <c r="B218" s="5" t="s">
        <v>188</v>
      </c>
      <c r="C218" s="19">
        <f t="shared" si="174"/>
        <v>0</v>
      </c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</row>
    <row r="219" spans="2:23" ht="28.5" customHeight="1">
      <c r="B219" s="5" t="s">
        <v>189</v>
      </c>
      <c r="C219" s="19">
        <f t="shared" si="174"/>
        <v>0</v>
      </c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</row>
    <row r="220" spans="2:23" ht="31.5">
      <c r="B220" s="5" t="s">
        <v>190</v>
      </c>
      <c r="C220" s="19">
        <f t="shared" si="174"/>
        <v>0</v>
      </c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</row>
    <row r="221" spans="2:23" ht="35.450000000000003" customHeight="1">
      <c r="B221" s="5" t="s">
        <v>191</v>
      </c>
      <c r="C221" s="19">
        <f t="shared" si="174"/>
        <v>0</v>
      </c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</row>
    <row r="222" spans="2:23" ht="15.75">
      <c r="B222" s="5" t="s">
        <v>192</v>
      </c>
      <c r="C222" s="19">
        <f t="shared" si="174"/>
        <v>0</v>
      </c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</row>
    <row r="223" spans="2:23" ht="31.5">
      <c r="B223" s="5" t="s">
        <v>193</v>
      </c>
      <c r="C223" s="19">
        <f t="shared" si="174"/>
        <v>0</v>
      </c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</row>
    <row r="224" spans="2:23" ht="15.75">
      <c r="B224" s="5" t="s">
        <v>194</v>
      </c>
      <c r="C224" s="19">
        <f t="shared" si="174"/>
        <v>522956498</v>
      </c>
      <c r="D224" s="22">
        <f>SUM(D205:D223)</f>
        <v>0</v>
      </c>
      <c r="E224" s="22">
        <f t="shared" ref="E224" si="175">SUM(E205:E223)</f>
        <v>0</v>
      </c>
      <c r="F224" s="22">
        <f t="shared" ref="F224:G224" si="176">SUM(F205:F223)</f>
        <v>0</v>
      </c>
      <c r="G224" s="22">
        <f t="shared" si="176"/>
        <v>0</v>
      </c>
      <c r="H224" s="22">
        <f>SUM(H205:H223)</f>
        <v>522956498</v>
      </c>
      <c r="I224" s="22">
        <f t="shared" ref="I224:J224" si="177">SUM(I205:I223)</f>
        <v>0</v>
      </c>
      <c r="J224" s="22">
        <f t="shared" si="177"/>
        <v>0</v>
      </c>
      <c r="K224" s="22">
        <f t="shared" ref="K224:U224" si="178">SUM(K205:K223)</f>
        <v>0</v>
      </c>
      <c r="L224" s="22">
        <f t="shared" si="178"/>
        <v>0</v>
      </c>
      <c r="M224" s="22">
        <f t="shared" si="178"/>
        <v>0</v>
      </c>
      <c r="N224" s="22">
        <f t="shared" si="178"/>
        <v>0</v>
      </c>
      <c r="O224" s="22">
        <f t="shared" si="178"/>
        <v>0</v>
      </c>
      <c r="P224" s="22">
        <f t="shared" si="178"/>
        <v>0</v>
      </c>
      <c r="Q224" s="22">
        <f t="shared" si="178"/>
        <v>0</v>
      </c>
      <c r="R224" s="22">
        <f t="shared" si="178"/>
        <v>0</v>
      </c>
      <c r="S224" s="22">
        <f t="shared" si="178"/>
        <v>0</v>
      </c>
      <c r="T224" s="22">
        <f t="shared" si="178"/>
        <v>0</v>
      </c>
      <c r="U224" s="22">
        <f t="shared" si="178"/>
        <v>0</v>
      </c>
      <c r="V224" s="22">
        <f t="shared" ref="V224:W224" si="179">SUM(V205:V223)</f>
        <v>0</v>
      </c>
      <c r="W224" s="22">
        <f t="shared" si="179"/>
        <v>0</v>
      </c>
    </row>
    <row r="225" spans="2:23" ht="31.5">
      <c r="B225" s="5" t="s">
        <v>195</v>
      </c>
      <c r="C225" s="19">
        <f t="shared" si="174"/>
        <v>0</v>
      </c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</row>
    <row r="226" spans="2:23" ht="31.5">
      <c r="B226" s="5" t="s">
        <v>196</v>
      </c>
      <c r="C226" s="19">
        <f t="shared" si="174"/>
        <v>0</v>
      </c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</row>
    <row r="227" spans="2:23" ht="15.75">
      <c r="B227" s="5" t="s">
        <v>197</v>
      </c>
      <c r="C227" s="19">
        <f t="shared" si="174"/>
        <v>0</v>
      </c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</row>
    <row r="228" spans="2:23" ht="15.75">
      <c r="B228" s="5" t="s">
        <v>198</v>
      </c>
      <c r="C228" s="19">
        <f t="shared" si="174"/>
        <v>0</v>
      </c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</row>
    <row r="229" spans="2:23" ht="15.75">
      <c r="B229" s="5" t="s">
        <v>199</v>
      </c>
      <c r="C229" s="19">
        <f t="shared" si="174"/>
        <v>0</v>
      </c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</row>
    <row r="230" spans="2:23" ht="31.5">
      <c r="B230" s="5" t="s">
        <v>200</v>
      </c>
      <c r="C230" s="19">
        <f t="shared" si="174"/>
        <v>0</v>
      </c>
      <c r="D230" s="22">
        <f>SUM(D225:D229)</f>
        <v>0</v>
      </c>
      <c r="E230" s="22">
        <f t="shared" ref="E230" si="180">SUM(E225:E229)</f>
        <v>0</v>
      </c>
      <c r="F230" s="22">
        <f t="shared" ref="F230:G230" si="181">SUM(F225:F229)</f>
        <v>0</v>
      </c>
      <c r="G230" s="22">
        <f t="shared" si="181"/>
        <v>0</v>
      </c>
      <c r="H230" s="22">
        <f>SUM(H225:H229)</f>
        <v>0</v>
      </c>
      <c r="I230" s="22">
        <f t="shared" ref="I230:J230" si="182">SUM(I225:I229)</f>
        <v>0</v>
      </c>
      <c r="J230" s="22">
        <f t="shared" si="182"/>
        <v>0</v>
      </c>
      <c r="K230" s="22">
        <f t="shared" ref="K230:U230" si="183">SUM(K225:K229)</f>
        <v>0</v>
      </c>
      <c r="L230" s="22">
        <f t="shared" si="183"/>
        <v>0</v>
      </c>
      <c r="M230" s="22">
        <f t="shared" si="183"/>
        <v>0</v>
      </c>
      <c r="N230" s="22">
        <f t="shared" si="183"/>
        <v>0</v>
      </c>
      <c r="O230" s="22">
        <f t="shared" si="183"/>
        <v>0</v>
      </c>
      <c r="P230" s="22">
        <f t="shared" si="183"/>
        <v>0</v>
      </c>
      <c r="Q230" s="22">
        <f t="shared" si="183"/>
        <v>0</v>
      </c>
      <c r="R230" s="22">
        <f t="shared" si="183"/>
        <v>0</v>
      </c>
      <c r="S230" s="22">
        <f t="shared" si="183"/>
        <v>0</v>
      </c>
      <c r="T230" s="22">
        <f t="shared" si="183"/>
        <v>0</v>
      </c>
      <c r="U230" s="22">
        <f t="shared" si="183"/>
        <v>0</v>
      </c>
      <c r="V230" s="22">
        <f t="shared" ref="V230:W230" si="184">SUM(V225:V229)</f>
        <v>0</v>
      </c>
      <c r="W230" s="22">
        <f t="shared" si="184"/>
        <v>0</v>
      </c>
    </row>
    <row r="231" spans="2:23" ht="15.75">
      <c r="B231" s="49" t="s">
        <v>201</v>
      </c>
      <c r="C231" s="19">
        <f t="shared" si="174"/>
        <v>522956498</v>
      </c>
      <c r="D231" s="22">
        <f>D224+D229+D230</f>
        <v>0</v>
      </c>
      <c r="E231" s="22">
        <f t="shared" ref="E231" si="185">E224+E229+E230</f>
        <v>0</v>
      </c>
      <c r="F231" s="22">
        <f>F224+F229+F230</f>
        <v>0</v>
      </c>
      <c r="G231" s="22">
        <f t="shared" ref="G231:J231" si="186">G224+G229+G230</f>
        <v>0</v>
      </c>
      <c r="H231" s="22">
        <f>H224+H229+H230</f>
        <v>522956498</v>
      </c>
      <c r="I231" s="22">
        <f t="shared" si="186"/>
        <v>0</v>
      </c>
      <c r="J231" s="22">
        <f t="shared" si="186"/>
        <v>0</v>
      </c>
      <c r="K231" s="22">
        <f t="shared" ref="K231:U231" si="187">K224+K229+K230</f>
        <v>0</v>
      </c>
      <c r="L231" s="22">
        <f t="shared" si="187"/>
        <v>0</v>
      </c>
      <c r="M231" s="22">
        <f t="shared" si="187"/>
        <v>0</v>
      </c>
      <c r="N231" s="22">
        <f t="shared" si="187"/>
        <v>0</v>
      </c>
      <c r="O231" s="22">
        <f t="shared" si="187"/>
        <v>0</v>
      </c>
      <c r="P231" s="22">
        <f t="shared" si="187"/>
        <v>0</v>
      </c>
      <c r="Q231" s="22">
        <f t="shared" si="187"/>
        <v>0</v>
      </c>
      <c r="R231" s="22">
        <f t="shared" si="187"/>
        <v>0</v>
      </c>
      <c r="S231" s="22">
        <f t="shared" si="187"/>
        <v>0</v>
      </c>
      <c r="T231" s="22">
        <f t="shared" si="187"/>
        <v>0</v>
      </c>
      <c r="U231" s="22">
        <f t="shared" si="187"/>
        <v>0</v>
      </c>
      <c r="V231" s="22">
        <f t="shared" ref="V231:W231" si="188">V224+V229+V230</f>
        <v>0</v>
      </c>
      <c r="W231" s="22">
        <f t="shared" si="188"/>
        <v>0</v>
      </c>
    </row>
    <row r="232" spans="2:23" s="59" customFormat="1" ht="15.75">
      <c r="B232" s="60" t="s">
        <v>202</v>
      </c>
      <c r="C232" s="19">
        <f t="shared" si="174"/>
        <v>1106837982</v>
      </c>
      <c r="D232" s="22">
        <f>D202+D231</f>
        <v>3259000</v>
      </c>
      <c r="E232" s="22">
        <f t="shared" ref="E232" si="189">E202+E231</f>
        <v>264300000</v>
      </c>
      <c r="F232" s="22">
        <f t="shared" ref="F232:G232" si="190">F202+F231</f>
        <v>65325000</v>
      </c>
      <c r="G232" s="22">
        <f t="shared" si="190"/>
        <v>215816684</v>
      </c>
      <c r="H232" s="22">
        <f>H202+H231</f>
        <v>557478498</v>
      </c>
      <c r="I232" s="22">
        <f t="shared" ref="I232:J232" si="191">I202+I231</f>
        <v>0</v>
      </c>
      <c r="J232" s="22">
        <f t="shared" si="191"/>
        <v>304800</v>
      </c>
      <c r="K232" s="22">
        <f t="shared" ref="K232:U232" si="192">K202+K231</f>
        <v>0</v>
      </c>
      <c r="L232" s="22">
        <f t="shared" si="192"/>
        <v>0</v>
      </c>
      <c r="M232" s="22">
        <f t="shared" si="192"/>
        <v>0</v>
      </c>
      <c r="N232" s="22">
        <f t="shared" si="192"/>
        <v>0</v>
      </c>
      <c r="O232" s="22">
        <f t="shared" si="192"/>
        <v>354000</v>
      </c>
      <c r="P232" s="22">
        <f t="shared" si="192"/>
        <v>0</v>
      </c>
      <c r="Q232" s="22">
        <f t="shared" si="192"/>
        <v>0</v>
      </c>
      <c r="R232" s="22">
        <f t="shared" si="192"/>
        <v>0</v>
      </c>
      <c r="S232" s="22">
        <f t="shared" si="192"/>
        <v>0</v>
      </c>
      <c r="T232" s="22">
        <f t="shared" si="192"/>
        <v>0</v>
      </c>
      <c r="U232" s="22">
        <f t="shared" si="192"/>
        <v>0</v>
      </c>
      <c r="V232" s="22">
        <f t="shared" ref="V232:W232" si="193">V202+V231</f>
        <v>0</v>
      </c>
      <c r="W232" s="22">
        <f t="shared" si="193"/>
        <v>0</v>
      </c>
    </row>
    <row r="233" spans="2:23"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</row>
    <row r="234" spans="2:23">
      <c r="C234" s="68">
        <f>SUM(D234:W234)</f>
        <v>266755006.50666669</v>
      </c>
      <c r="D234" s="29">
        <f t="shared" ref="D234:W234" si="194">D232-D127</f>
        <v>-47648830</v>
      </c>
      <c r="E234" s="29">
        <f t="shared" si="194"/>
        <v>264300000</v>
      </c>
      <c r="F234" s="29">
        <f t="shared" si="194"/>
        <v>-529261372.15999997</v>
      </c>
      <c r="G234" s="29">
        <f t="shared" si="194"/>
        <v>207184016</v>
      </c>
      <c r="H234" s="29">
        <f t="shared" si="194"/>
        <v>516247631</v>
      </c>
      <c r="I234" s="29">
        <f t="shared" si="194"/>
        <v>0</v>
      </c>
      <c r="J234" s="29">
        <f t="shared" si="194"/>
        <v>-31695200</v>
      </c>
      <c r="K234" s="29">
        <f t="shared" si="194"/>
        <v>-1719580</v>
      </c>
      <c r="L234" s="29">
        <f t="shared" si="194"/>
        <v>-8261800</v>
      </c>
      <c r="M234" s="29">
        <f t="shared" si="194"/>
        <v>-8000000</v>
      </c>
      <c r="N234" s="29">
        <f t="shared" si="194"/>
        <v>-3885100</v>
      </c>
      <c r="O234" s="29">
        <f t="shared" si="194"/>
        <v>-24756550</v>
      </c>
      <c r="P234" s="29">
        <f t="shared" si="194"/>
        <v>-7000000</v>
      </c>
      <c r="Q234" s="29">
        <f t="shared" si="194"/>
        <v>-26500000</v>
      </c>
      <c r="R234" s="29">
        <f t="shared" si="194"/>
        <v>-24490000</v>
      </c>
      <c r="S234" s="29">
        <f t="shared" si="194"/>
        <v>-500000</v>
      </c>
      <c r="T234" s="29">
        <f t="shared" si="194"/>
        <v>-4000000</v>
      </c>
      <c r="U234" s="29">
        <f t="shared" si="194"/>
        <v>-3258208.333333333</v>
      </c>
      <c r="V234" s="29">
        <f t="shared" si="194"/>
        <v>0</v>
      </c>
      <c r="W234" s="29">
        <f t="shared" si="194"/>
        <v>0</v>
      </c>
    </row>
    <row r="235" spans="2:23">
      <c r="D235" s="20"/>
      <c r="F235" s="20"/>
      <c r="G235" s="20"/>
      <c r="H235" s="20"/>
      <c r="I235" s="20"/>
      <c r="J235" s="20"/>
    </row>
    <row r="237" spans="2:23" ht="18.75">
      <c r="B237" s="90" t="s">
        <v>423</v>
      </c>
      <c r="C237" s="32" t="s">
        <v>292</v>
      </c>
      <c r="D237" s="32"/>
      <c r="L237" s="32" t="s">
        <v>292</v>
      </c>
      <c r="N237" s="32" t="s">
        <v>292</v>
      </c>
      <c r="O237" s="32" t="s">
        <v>251</v>
      </c>
      <c r="U237" s="54" t="s">
        <v>292</v>
      </c>
    </row>
    <row r="238" spans="2:23">
      <c r="C238" s="20" t="s">
        <v>424</v>
      </c>
      <c r="D238" s="20"/>
      <c r="L238" s="20" t="s">
        <v>294</v>
      </c>
      <c r="N238" s="20" t="s">
        <v>293</v>
      </c>
      <c r="O238" s="20" t="s">
        <v>419</v>
      </c>
      <c r="U238" t="s">
        <v>422</v>
      </c>
    </row>
    <row r="239" spans="2:23">
      <c r="D239" s="20"/>
      <c r="O239" t="s">
        <v>420</v>
      </c>
    </row>
    <row r="240" spans="2:23" ht="45">
      <c r="B240" s="96" t="s">
        <v>318</v>
      </c>
      <c r="C240" s="80" t="s">
        <v>305</v>
      </c>
      <c r="D240" s="80" t="s">
        <v>306</v>
      </c>
      <c r="E240" s="80" t="s">
        <v>307</v>
      </c>
      <c r="F240" s="80" t="s">
        <v>308</v>
      </c>
      <c r="O240" s="48" t="s">
        <v>421</v>
      </c>
    </row>
    <row r="241" spans="1:6" ht="18">
      <c r="A241" s="81"/>
      <c r="B241" s="83" t="s">
        <v>418</v>
      </c>
      <c r="C241" s="87">
        <f>1450000+290000+870000+580000</f>
        <v>3190000</v>
      </c>
      <c r="D241" s="87">
        <f t="shared" ref="D241" si="195">C241*0.27</f>
        <v>861300</v>
      </c>
      <c r="E241" s="88"/>
      <c r="F241" s="89">
        <f t="shared" ref="F241" si="196">SUM(C241:E241)</f>
        <v>4051300</v>
      </c>
    </row>
    <row r="242" spans="1:6" ht="18">
      <c r="A242" s="81"/>
      <c r="B242" s="83" t="s">
        <v>408</v>
      </c>
      <c r="C242" s="87">
        <v>2500000</v>
      </c>
      <c r="D242" s="87">
        <f t="shared" ref="D242:D262" si="197">C242*0.27</f>
        <v>675000</v>
      </c>
      <c r="E242" s="88"/>
      <c r="F242" s="89">
        <f t="shared" ref="F242:F262" si="198">SUM(C242:E242)</f>
        <v>3175000</v>
      </c>
    </row>
    <row r="243" spans="1:6" ht="18">
      <c r="A243" s="106"/>
      <c r="B243" s="82" t="s">
        <v>382</v>
      </c>
      <c r="C243" s="87">
        <v>200000</v>
      </c>
      <c r="D243" s="87">
        <f t="shared" si="197"/>
        <v>54000</v>
      </c>
      <c r="E243" s="88"/>
      <c r="F243" s="89">
        <f t="shared" ref="F243" si="199">SUM(C243:E243)</f>
        <v>254000</v>
      </c>
    </row>
    <row r="244" spans="1:6" ht="36">
      <c r="A244" s="81"/>
      <c r="B244" s="83" t="s">
        <v>383</v>
      </c>
      <c r="C244" s="87">
        <v>1500000</v>
      </c>
      <c r="D244" s="87">
        <f t="shared" si="197"/>
        <v>405000</v>
      </c>
      <c r="E244" s="88"/>
      <c r="F244" s="89">
        <f t="shared" ref="F244" si="200">SUM(C244:E244)</f>
        <v>1905000</v>
      </c>
    </row>
    <row r="245" spans="1:6" ht="54">
      <c r="A245" s="106"/>
      <c r="B245" s="83" t="s">
        <v>386</v>
      </c>
      <c r="C245" s="87">
        <v>3000000</v>
      </c>
      <c r="D245" s="87">
        <f t="shared" si="197"/>
        <v>810000</v>
      </c>
      <c r="E245" s="88"/>
      <c r="F245" s="89">
        <f t="shared" si="198"/>
        <v>3810000</v>
      </c>
    </row>
    <row r="246" spans="1:6" ht="18">
      <c r="A246" s="81"/>
      <c r="B246" s="82" t="s">
        <v>407</v>
      </c>
      <c r="C246" s="87">
        <v>1000000</v>
      </c>
      <c r="D246" s="87">
        <f t="shared" si="197"/>
        <v>270000</v>
      </c>
      <c r="E246" s="88"/>
      <c r="F246" s="89">
        <f t="shared" si="198"/>
        <v>1270000</v>
      </c>
    </row>
    <row r="247" spans="1:6" ht="36">
      <c r="A247" s="106"/>
      <c r="B247" s="83" t="s">
        <v>416</v>
      </c>
      <c r="C247" s="87">
        <v>2598425</v>
      </c>
      <c r="D247" s="87">
        <f t="shared" si="197"/>
        <v>701574.75</v>
      </c>
      <c r="E247" s="88"/>
      <c r="F247" s="89">
        <f t="shared" si="198"/>
        <v>3299999.75</v>
      </c>
    </row>
    <row r="248" spans="1:6" ht="18">
      <c r="A248" s="81"/>
      <c r="B248" s="82" t="s">
        <v>387</v>
      </c>
      <c r="C248" s="87">
        <v>6000000</v>
      </c>
      <c r="D248" s="87">
        <f t="shared" si="197"/>
        <v>1620000</v>
      </c>
      <c r="E248" s="88"/>
      <c r="F248" s="89">
        <f t="shared" si="198"/>
        <v>7620000</v>
      </c>
    </row>
    <row r="249" spans="1:6" ht="18">
      <c r="A249" s="106"/>
      <c r="B249" s="82" t="s">
        <v>388</v>
      </c>
      <c r="C249" s="87">
        <v>37500000</v>
      </c>
      <c r="D249" s="87">
        <f t="shared" si="197"/>
        <v>10125000</v>
      </c>
      <c r="E249" s="88"/>
      <c r="F249" s="89">
        <f t="shared" si="198"/>
        <v>47625000</v>
      </c>
    </row>
    <row r="250" spans="1:6" ht="18">
      <c r="A250" s="81"/>
      <c r="B250" s="82"/>
      <c r="C250" s="87"/>
      <c r="D250" s="87">
        <f t="shared" ref="D250" si="201">C250*0.27</f>
        <v>0</v>
      </c>
      <c r="E250" s="88"/>
      <c r="F250" s="89">
        <f t="shared" ref="F250" si="202">SUM(C250:E250)</f>
        <v>0</v>
      </c>
    </row>
    <row r="251" spans="1:6" ht="18">
      <c r="A251" s="106"/>
      <c r="B251" s="83" t="s">
        <v>389</v>
      </c>
      <c r="C251" s="87">
        <v>2000000</v>
      </c>
      <c r="D251" s="87">
        <f t="shared" si="197"/>
        <v>540000</v>
      </c>
      <c r="E251" s="88"/>
      <c r="F251" s="89">
        <f t="shared" si="198"/>
        <v>2540000</v>
      </c>
    </row>
    <row r="252" spans="1:6" ht="18">
      <c r="A252" s="81"/>
      <c r="B252" s="83"/>
      <c r="C252" s="87"/>
      <c r="D252" s="87">
        <f t="shared" si="197"/>
        <v>0</v>
      </c>
      <c r="E252" s="88"/>
      <c r="F252" s="89">
        <f t="shared" si="198"/>
        <v>0</v>
      </c>
    </row>
    <row r="253" spans="1:6" ht="18">
      <c r="A253" s="106"/>
      <c r="B253" s="123" t="s">
        <v>395</v>
      </c>
      <c r="C253" s="124">
        <f>(136574865+50000000)/1.27</f>
        <v>146909342.51968503</v>
      </c>
      <c r="D253" s="124">
        <f>C253*0.27</f>
        <v>39665522.480314963</v>
      </c>
      <c r="E253" s="125"/>
      <c r="F253" s="126">
        <f>SUM(C253:E253)</f>
        <v>186574865</v>
      </c>
    </row>
    <row r="254" spans="1:6" ht="18">
      <c r="A254" s="81"/>
      <c r="B254" s="123" t="s">
        <v>396</v>
      </c>
      <c r="C254" s="124">
        <f>307784207/1.27</f>
        <v>242349769.29133859</v>
      </c>
      <c r="D254" s="124">
        <f t="shared" si="197"/>
        <v>65434437.708661422</v>
      </c>
      <c r="E254" s="125"/>
      <c r="F254" s="126">
        <f t="shared" si="198"/>
        <v>307784207</v>
      </c>
    </row>
    <row r="255" spans="1:6" ht="18">
      <c r="A255" s="81"/>
      <c r="B255" s="127"/>
      <c r="C255" s="87"/>
      <c r="D255" s="87"/>
      <c r="E255" s="88"/>
      <c r="F255" s="89"/>
    </row>
    <row r="256" spans="1:6" ht="18">
      <c r="A256" s="81"/>
      <c r="B256" s="127"/>
      <c r="C256" s="87"/>
      <c r="D256" s="87"/>
      <c r="E256" s="88"/>
      <c r="F256" s="89"/>
    </row>
    <row r="257" spans="1:7" ht="18">
      <c r="A257" s="81"/>
      <c r="B257" s="127"/>
      <c r="C257" s="87"/>
      <c r="D257" s="87"/>
      <c r="E257" s="88"/>
      <c r="F257" s="89"/>
    </row>
    <row r="258" spans="1:7" ht="18">
      <c r="A258" s="81"/>
      <c r="B258" s="127"/>
      <c r="C258" s="87"/>
      <c r="D258" s="87"/>
      <c r="E258" s="88"/>
      <c r="F258" s="89"/>
    </row>
    <row r="259" spans="1:7" ht="18">
      <c r="A259" s="81"/>
      <c r="B259" s="127"/>
      <c r="C259" s="87"/>
      <c r="D259" s="87"/>
      <c r="E259" s="88"/>
      <c r="F259" s="89"/>
    </row>
    <row r="260" spans="1:7" ht="18">
      <c r="A260" s="81"/>
      <c r="B260" s="127"/>
      <c r="C260" s="87"/>
      <c r="D260" s="87"/>
      <c r="E260" s="88"/>
      <c r="F260" s="89"/>
    </row>
    <row r="261" spans="1:7" ht="18">
      <c r="A261" s="106"/>
      <c r="B261" s="83"/>
      <c r="C261" s="87"/>
      <c r="D261" s="87">
        <f t="shared" si="197"/>
        <v>0</v>
      </c>
      <c r="E261" s="88"/>
      <c r="F261" s="89">
        <f t="shared" si="198"/>
        <v>0</v>
      </c>
    </row>
    <row r="262" spans="1:7" ht="18">
      <c r="A262" s="81"/>
      <c r="B262" s="83"/>
      <c r="C262" s="87"/>
      <c r="D262" s="87">
        <f t="shared" si="197"/>
        <v>0</v>
      </c>
      <c r="E262" s="88"/>
      <c r="F262" s="89">
        <f t="shared" si="198"/>
        <v>0</v>
      </c>
    </row>
    <row r="263" spans="1:7" s="59" customFormat="1" ht="15.75">
      <c r="A263" s="106"/>
      <c r="C263" s="86">
        <f>SUM(C241:C262)</f>
        <v>448747536.81102359</v>
      </c>
      <c r="D263" s="86">
        <f t="shared" ref="D263:F263" si="203">SUM(D241:D262)</f>
        <v>121161834.93897638</v>
      </c>
      <c r="E263" s="86">
        <f t="shared" si="203"/>
        <v>0</v>
      </c>
      <c r="F263" s="86">
        <f t="shared" si="203"/>
        <v>569909371.75</v>
      </c>
      <c r="G263" s="85"/>
    </row>
    <row r="264" spans="1:7" ht="18.75">
      <c r="B264" s="90"/>
      <c r="C264" s="91"/>
      <c r="D264" s="91"/>
      <c r="E264" s="91"/>
      <c r="F264" s="92"/>
    </row>
    <row r="265" spans="1:7" ht="18.75">
      <c r="B265" s="90"/>
      <c r="C265" s="91"/>
      <c r="D265" s="91"/>
      <c r="E265" s="91"/>
      <c r="F265" s="92"/>
    </row>
  </sheetData>
  <hyperlinks>
    <hyperlink ref="B50" r:id="rId1" location="sup195" display="http://www.opten.hu/loadpage.php - sup195"/>
    <hyperlink ref="B58" r:id="rId2" location="sup203" display="http://www.opten.hu/loadpage.php?dest=OISZ&amp;twhich=214774&amp;srcid=ol4366 - sup203"/>
  </hyperlinks>
  <pageMargins left="0.31496062992125984" right="0.39370078740157483" top="0.6692913385826772" bottom="0.6692913385826772" header="0.51181102362204722" footer="0.51181102362204722"/>
  <pageSetup paperSize="9" scale="34" orientation="landscape" r:id="rId3"/>
  <headerFooter alignWithMargins="0"/>
  <rowBreaks count="2" manualBreakCount="2">
    <brk id="145" max="16383" man="1"/>
    <brk id="20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O267"/>
  <sheetViews>
    <sheetView view="pageBreakPreview" topLeftCell="B1" zoomScale="60" zoomScaleNormal="60" workbookViewId="0">
      <pane ySplit="4" topLeftCell="A35" activePane="bottomLeft" state="frozen"/>
      <selection pane="bottomLeft" activeCell="C51" sqref="C50:C51"/>
    </sheetView>
  </sheetViews>
  <sheetFormatPr defaultRowHeight="15"/>
  <cols>
    <col min="1" max="1" width="3" customWidth="1"/>
    <col min="2" max="2" width="61.42578125" style="48" customWidth="1"/>
    <col min="3" max="3" width="19.85546875" customWidth="1"/>
    <col min="4" max="5" width="16.85546875" customWidth="1"/>
    <col min="6" max="6" width="18.7109375" customWidth="1"/>
    <col min="7" max="11" width="16.85546875" customWidth="1"/>
    <col min="12" max="12" width="19" customWidth="1"/>
    <col min="13" max="15" width="16.85546875" customWidth="1"/>
  </cols>
  <sheetData>
    <row r="1" spans="2:15" ht="15.75">
      <c r="B1" s="39"/>
    </row>
    <row r="2" spans="2:15" ht="15.75">
      <c r="B2" s="39"/>
    </row>
    <row r="3" spans="2:15" ht="31.5">
      <c r="B3" s="39" t="s">
        <v>321</v>
      </c>
      <c r="C3" s="2" t="s">
        <v>0</v>
      </c>
    </row>
    <row r="4" spans="2:15" ht="63.75">
      <c r="B4" s="40" t="s">
        <v>1</v>
      </c>
      <c r="C4" s="35" t="s">
        <v>325</v>
      </c>
      <c r="D4" s="35" t="s">
        <v>228</v>
      </c>
      <c r="E4" s="35" t="s">
        <v>229</v>
      </c>
      <c r="F4" s="35" t="s">
        <v>230</v>
      </c>
      <c r="G4" s="35" t="s">
        <v>232</v>
      </c>
      <c r="H4" s="35" t="s">
        <v>233</v>
      </c>
      <c r="I4" s="35" t="s">
        <v>234</v>
      </c>
      <c r="J4" s="35" t="s">
        <v>235</v>
      </c>
      <c r="K4" s="35" t="s">
        <v>236</v>
      </c>
      <c r="L4" s="35" t="s">
        <v>237</v>
      </c>
      <c r="M4" s="35" t="s">
        <v>231</v>
      </c>
      <c r="N4" s="35" t="s">
        <v>238</v>
      </c>
      <c r="O4" s="35" t="s">
        <v>239</v>
      </c>
    </row>
    <row r="5" spans="2:15" ht="15.75">
      <c r="B5" s="41" t="s">
        <v>2</v>
      </c>
      <c r="C5" s="19">
        <f>SUM(D5:O5)</f>
        <v>89101325</v>
      </c>
      <c r="D5" s="22">
        <f>SUM(D6:D16)</f>
        <v>0</v>
      </c>
      <c r="E5" s="22">
        <f t="shared" ref="E5:O5" si="0">SUM(E6:E16)</f>
        <v>0</v>
      </c>
      <c r="F5" s="22">
        <f t="shared" si="0"/>
        <v>0</v>
      </c>
      <c r="G5" s="22">
        <f t="shared" si="0"/>
        <v>0</v>
      </c>
      <c r="H5" s="22">
        <f t="shared" si="0"/>
        <v>0</v>
      </c>
      <c r="I5" s="22">
        <f t="shared" si="0"/>
        <v>0</v>
      </c>
      <c r="J5" s="22">
        <f t="shared" si="0"/>
        <v>69437500</v>
      </c>
      <c r="K5" s="22">
        <f t="shared" si="0"/>
        <v>0</v>
      </c>
      <c r="L5" s="22">
        <f t="shared" si="0"/>
        <v>11650825</v>
      </c>
      <c r="M5" s="22">
        <f t="shared" si="0"/>
        <v>8013000</v>
      </c>
      <c r="N5" s="22">
        <f t="shared" si="0"/>
        <v>0</v>
      </c>
      <c r="O5" s="22">
        <f t="shared" si="0"/>
        <v>0</v>
      </c>
    </row>
    <row r="6" spans="2:15" ht="15.75">
      <c r="B6" s="5" t="s">
        <v>3</v>
      </c>
      <c r="C6" s="19">
        <f t="shared" ref="C6:C70" si="1">SUM(D6:O6)</f>
        <v>77575825</v>
      </c>
      <c r="D6" s="23"/>
      <c r="E6" s="23"/>
      <c r="F6" s="23"/>
      <c r="G6" s="23"/>
      <c r="H6" s="23"/>
      <c r="I6" s="23"/>
      <c r="J6" s="23">
        <f>55863000+3249000</f>
        <v>59112000</v>
      </c>
      <c r="K6" s="23"/>
      <c r="L6" s="23">
        <v>10850825</v>
      </c>
      <c r="M6" s="23">
        <v>7613000</v>
      </c>
      <c r="N6" s="23"/>
      <c r="O6" s="23"/>
    </row>
    <row r="7" spans="2:15" ht="15.75">
      <c r="B7" s="5" t="s">
        <v>4</v>
      </c>
      <c r="C7" s="19">
        <f t="shared" si="1"/>
        <v>6957499.9999999991</v>
      </c>
      <c r="D7" s="23"/>
      <c r="E7" s="23"/>
      <c r="F7" s="23"/>
      <c r="G7" s="23"/>
      <c r="H7" s="23"/>
      <c r="I7" s="23"/>
      <c r="J7" s="23">
        <f>6050000*1.15</f>
        <v>6957499.9999999991</v>
      </c>
      <c r="K7" s="23"/>
      <c r="L7" s="23"/>
      <c r="M7" s="23"/>
      <c r="N7" s="23"/>
      <c r="O7" s="23"/>
    </row>
    <row r="8" spans="2:15" ht="15.75">
      <c r="B8" s="5" t="s">
        <v>5</v>
      </c>
      <c r="C8" s="19">
        <f t="shared" si="1"/>
        <v>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2:15" ht="15.75">
      <c r="B9" s="5" t="s">
        <v>6</v>
      </c>
      <c r="C9" s="19">
        <f t="shared" si="1"/>
        <v>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2:15" ht="15.75">
      <c r="B10" s="5" t="s">
        <v>7</v>
      </c>
      <c r="C10" s="19">
        <f t="shared" si="1"/>
        <v>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2:15" ht="15.75">
      <c r="B11" s="5" t="s">
        <v>8</v>
      </c>
      <c r="C11" s="19">
        <f t="shared" si="1"/>
        <v>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2:15" ht="15.75">
      <c r="B12" s="5" t="s">
        <v>9</v>
      </c>
      <c r="C12" s="19">
        <f t="shared" si="1"/>
        <v>100000</v>
      </c>
      <c r="D12" s="23"/>
      <c r="E12" s="23"/>
      <c r="F12" s="23"/>
      <c r="G12" s="23"/>
      <c r="H12" s="23"/>
      <c r="I12" s="23"/>
      <c r="J12" s="23">
        <v>100000</v>
      </c>
      <c r="K12" s="23"/>
      <c r="L12" s="23"/>
      <c r="M12" s="23"/>
      <c r="N12" s="23"/>
      <c r="O12" s="23"/>
    </row>
    <row r="13" spans="2:15" ht="15.75">
      <c r="B13" s="5" t="s">
        <v>10</v>
      </c>
      <c r="C13" s="19">
        <f t="shared" si="1"/>
        <v>168000</v>
      </c>
      <c r="D13" s="23"/>
      <c r="E13" s="23"/>
      <c r="F13" s="23"/>
      <c r="G13" s="23"/>
      <c r="H13" s="23"/>
      <c r="I13" s="23"/>
      <c r="J13" s="23">
        <f>12000*14</f>
        <v>168000</v>
      </c>
      <c r="K13" s="23"/>
      <c r="L13" s="23"/>
      <c r="M13" s="23"/>
      <c r="N13" s="23"/>
      <c r="O13" s="23"/>
    </row>
    <row r="14" spans="2:15" ht="15.75">
      <c r="B14" s="5" t="s">
        <v>11</v>
      </c>
      <c r="C14" s="19">
        <f t="shared" si="1"/>
        <v>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2:15" ht="15.75">
      <c r="B15" s="5" t="s">
        <v>12</v>
      </c>
      <c r="C15" s="19">
        <f t="shared" si="1"/>
        <v>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2:15" ht="15.75">
      <c r="B16" s="5" t="s">
        <v>13</v>
      </c>
      <c r="C16" s="19">
        <f t="shared" si="1"/>
        <v>4300000</v>
      </c>
      <c r="D16" s="23"/>
      <c r="E16" s="23"/>
      <c r="F16" s="23"/>
      <c r="G16" s="23"/>
      <c r="H16" s="23"/>
      <c r="I16" s="23"/>
      <c r="J16" s="23">
        <f>500000+13*200000</f>
        <v>3100000</v>
      </c>
      <c r="K16" s="23"/>
      <c r="L16" s="23">
        <v>800000</v>
      </c>
      <c r="M16" s="23">
        <v>400000</v>
      </c>
      <c r="N16" s="23"/>
      <c r="O16" s="23"/>
    </row>
    <row r="17" spans="2:15" ht="15.75">
      <c r="B17" s="41" t="s">
        <v>14</v>
      </c>
      <c r="C17" s="19">
        <f t="shared" si="1"/>
        <v>300000</v>
      </c>
      <c r="D17" s="22">
        <f>SUM(D18:D20)</f>
        <v>0</v>
      </c>
      <c r="E17" s="22">
        <f t="shared" ref="E17:O17" si="2">SUM(E18:E20)</f>
        <v>0</v>
      </c>
      <c r="F17" s="22">
        <f t="shared" si="2"/>
        <v>0</v>
      </c>
      <c r="G17" s="22">
        <f t="shared" si="2"/>
        <v>0</v>
      </c>
      <c r="H17" s="22">
        <f t="shared" si="2"/>
        <v>0</v>
      </c>
      <c r="I17" s="22">
        <f t="shared" si="2"/>
        <v>0</v>
      </c>
      <c r="J17" s="22">
        <f t="shared" si="2"/>
        <v>300000</v>
      </c>
      <c r="K17" s="22">
        <f t="shared" si="2"/>
        <v>0</v>
      </c>
      <c r="L17" s="22">
        <f t="shared" si="2"/>
        <v>0</v>
      </c>
      <c r="M17" s="22">
        <f t="shared" si="2"/>
        <v>0</v>
      </c>
      <c r="N17" s="22">
        <f t="shared" si="2"/>
        <v>0</v>
      </c>
      <c r="O17" s="22">
        <f t="shared" si="2"/>
        <v>0</v>
      </c>
    </row>
    <row r="18" spans="2:15" ht="15.75">
      <c r="B18" s="5" t="s">
        <v>15</v>
      </c>
      <c r="C18" s="19">
        <f t="shared" si="1"/>
        <v>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2:15" ht="35.450000000000003" customHeight="1">
      <c r="B19" s="5" t="s">
        <v>16</v>
      </c>
      <c r="C19" s="19">
        <f t="shared" si="1"/>
        <v>200000</v>
      </c>
      <c r="D19" s="23"/>
      <c r="E19" s="23"/>
      <c r="F19" s="23"/>
      <c r="G19" s="23"/>
      <c r="H19" s="23"/>
      <c r="I19" s="23"/>
      <c r="J19" s="23">
        <v>200000</v>
      </c>
      <c r="K19" s="23"/>
      <c r="L19" s="23"/>
      <c r="M19" s="23"/>
      <c r="N19" s="23"/>
      <c r="O19" s="23"/>
    </row>
    <row r="20" spans="2:15" ht="15.75">
      <c r="B20" s="5" t="s">
        <v>17</v>
      </c>
      <c r="C20" s="19">
        <f t="shared" si="1"/>
        <v>100000</v>
      </c>
      <c r="D20" s="23">
        <v>0</v>
      </c>
      <c r="E20" s="23">
        <v>0</v>
      </c>
      <c r="F20" s="23">
        <v>0</v>
      </c>
      <c r="G20" s="23"/>
      <c r="H20" s="23"/>
      <c r="I20" s="23"/>
      <c r="J20" s="23">
        <v>100000</v>
      </c>
      <c r="K20" s="23"/>
      <c r="L20" s="23"/>
      <c r="M20" s="23"/>
      <c r="N20" s="23"/>
      <c r="O20" s="23"/>
    </row>
    <row r="21" spans="2:15" ht="15.75">
      <c r="B21" s="42" t="s">
        <v>18</v>
      </c>
      <c r="C21" s="19">
        <f t="shared" si="1"/>
        <v>89401325</v>
      </c>
      <c r="D21" s="22">
        <f>D5+D17</f>
        <v>0</v>
      </c>
      <c r="E21" s="22">
        <f t="shared" ref="E21:O21" si="3">E5+E17</f>
        <v>0</v>
      </c>
      <c r="F21" s="22">
        <f t="shared" si="3"/>
        <v>0</v>
      </c>
      <c r="G21" s="22">
        <f t="shared" si="3"/>
        <v>0</v>
      </c>
      <c r="H21" s="22">
        <f t="shared" si="3"/>
        <v>0</v>
      </c>
      <c r="I21" s="22">
        <f t="shared" si="3"/>
        <v>0</v>
      </c>
      <c r="J21" s="22">
        <f t="shared" si="3"/>
        <v>69737500</v>
      </c>
      <c r="K21" s="22">
        <f t="shared" si="3"/>
        <v>0</v>
      </c>
      <c r="L21" s="22">
        <f t="shared" si="3"/>
        <v>11650825</v>
      </c>
      <c r="M21" s="22">
        <f t="shared" si="3"/>
        <v>8013000</v>
      </c>
      <c r="N21" s="22">
        <f t="shared" si="3"/>
        <v>0</v>
      </c>
      <c r="O21" s="22">
        <f t="shared" si="3"/>
        <v>0</v>
      </c>
    </row>
    <row r="22" spans="2:15" ht="31.5">
      <c r="B22" s="42" t="s">
        <v>19</v>
      </c>
      <c r="C22" s="19">
        <f t="shared" si="1"/>
        <v>16290231.875</v>
      </c>
      <c r="D22" s="22">
        <f>D23+D24+D25</f>
        <v>0</v>
      </c>
      <c r="E22" s="22">
        <f t="shared" ref="E22:O22" si="4">E23+E24+E25</f>
        <v>0</v>
      </c>
      <c r="F22" s="22">
        <f t="shared" si="4"/>
        <v>0</v>
      </c>
      <c r="G22" s="22">
        <f t="shared" si="4"/>
        <v>0</v>
      </c>
      <c r="H22" s="22">
        <f t="shared" si="4"/>
        <v>0</v>
      </c>
      <c r="I22" s="22">
        <f t="shared" si="4"/>
        <v>0</v>
      </c>
      <c r="J22" s="22">
        <f t="shared" si="4"/>
        <v>12669062.5</v>
      </c>
      <c r="K22" s="22">
        <f t="shared" si="4"/>
        <v>0</v>
      </c>
      <c r="L22" s="22">
        <f t="shared" si="4"/>
        <v>2158894.375</v>
      </c>
      <c r="M22" s="22">
        <f t="shared" si="4"/>
        <v>1462275</v>
      </c>
      <c r="N22" s="22">
        <f t="shared" si="4"/>
        <v>0</v>
      </c>
      <c r="O22" s="22">
        <f t="shared" si="4"/>
        <v>0</v>
      </c>
    </row>
    <row r="23" spans="2:15" ht="15.75">
      <c r="B23" s="43" t="s">
        <v>205</v>
      </c>
      <c r="C23" s="19">
        <f t="shared" si="1"/>
        <v>15645231.875</v>
      </c>
      <c r="D23" s="23">
        <f t="shared" ref="D23:I23" si="5">D21*0.175</f>
        <v>0</v>
      </c>
      <c r="E23" s="23">
        <f t="shared" si="5"/>
        <v>0</v>
      </c>
      <c r="F23" s="23">
        <f t="shared" si="5"/>
        <v>0</v>
      </c>
      <c r="G23" s="23">
        <f t="shared" si="5"/>
        <v>0</v>
      </c>
      <c r="H23" s="23">
        <f t="shared" si="5"/>
        <v>0</v>
      </c>
      <c r="I23" s="23">
        <f t="shared" si="5"/>
        <v>0</v>
      </c>
      <c r="J23" s="23">
        <f>J21*0.175</f>
        <v>12204062.5</v>
      </c>
      <c r="K23" s="23">
        <f t="shared" ref="K23:O23" si="6">K21*0.175</f>
        <v>0</v>
      </c>
      <c r="L23" s="23">
        <f t="shared" si="6"/>
        <v>2038894.3749999998</v>
      </c>
      <c r="M23" s="23">
        <f t="shared" si="6"/>
        <v>1402275</v>
      </c>
      <c r="N23" s="23">
        <f t="shared" si="6"/>
        <v>0</v>
      </c>
      <c r="O23" s="23">
        <f t="shared" si="6"/>
        <v>0</v>
      </c>
    </row>
    <row r="24" spans="2:15" ht="15.75">
      <c r="B24" s="43" t="s">
        <v>206</v>
      </c>
      <c r="C24" s="19">
        <f t="shared" si="1"/>
        <v>0</v>
      </c>
      <c r="D24" s="23">
        <f>D10*1.18*0.14</f>
        <v>0</v>
      </c>
      <c r="E24" s="23">
        <f t="shared" ref="E24:H24" si="7">E10*1.18*0.14</f>
        <v>0</v>
      </c>
      <c r="F24" s="23">
        <f t="shared" si="7"/>
        <v>0</v>
      </c>
      <c r="G24" s="23">
        <f t="shared" si="7"/>
        <v>0</v>
      </c>
      <c r="H24" s="23">
        <f t="shared" si="7"/>
        <v>0</v>
      </c>
      <c r="I24" s="23">
        <f t="shared" ref="I24:O24" si="8">I10*1.18*0.14</f>
        <v>0</v>
      </c>
      <c r="J24" s="23">
        <v>0</v>
      </c>
      <c r="K24" s="23">
        <f t="shared" si="8"/>
        <v>0</v>
      </c>
      <c r="L24" s="23">
        <v>0</v>
      </c>
      <c r="M24" s="23">
        <v>0</v>
      </c>
      <c r="N24" s="23">
        <f t="shared" si="8"/>
        <v>0</v>
      </c>
      <c r="O24" s="23">
        <f t="shared" si="8"/>
        <v>0</v>
      </c>
    </row>
    <row r="25" spans="2:15" ht="15.75">
      <c r="B25" s="43" t="s">
        <v>207</v>
      </c>
      <c r="C25" s="19">
        <f t="shared" si="1"/>
        <v>645000</v>
      </c>
      <c r="D25" s="23">
        <f t="shared" ref="D25:I25" si="9">D10*0.15</f>
        <v>0</v>
      </c>
      <c r="E25" s="23">
        <f t="shared" si="9"/>
        <v>0</v>
      </c>
      <c r="F25" s="23">
        <f t="shared" si="9"/>
        <v>0</v>
      </c>
      <c r="G25" s="23">
        <f t="shared" si="9"/>
        <v>0</v>
      </c>
      <c r="H25" s="23">
        <f t="shared" si="9"/>
        <v>0</v>
      </c>
      <c r="I25" s="23">
        <f t="shared" si="9"/>
        <v>0</v>
      </c>
      <c r="J25" s="23">
        <f>J16*0.15</f>
        <v>465000</v>
      </c>
      <c r="K25" s="23">
        <f t="shared" ref="K25:M25" si="10">K16*0.15</f>
        <v>0</v>
      </c>
      <c r="L25" s="23">
        <f t="shared" si="10"/>
        <v>120000</v>
      </c>
      <c r="M25" s="23">
        <f t="shared" si="10"/>
        <v>60000</v>
      </c>
      <c r="N25" s="23">
        <f t="shared" ref="N25:O25" si="11">N10*0.15</f>
        <v>0</v>
      </c>
      <c r="O25" s="23">
        <f t="shared" si="11"/>
        <v>0</v>
      </c>
    </row>
    <row r="26" spans="2:15" ht="15.75">
      <c r="B26" s="41" t="s">
        <v>20</v>
      </c>
      <c r="C26" s="19">
        <f t="shared" si="1"/>
        <v>21000000</v>
      </c>
      <c r="D26" s="22">
        <f>D27+D28+D31</f>
        <v>0</v>
      </c>
      <c r="E26" s="22">
        <f t="shared" ref="E26:O26" si="12">E27+E28+E31</f>
        <v>0</v>
      </c>
      <c r="F26" s="22">
        <f t="shared" si="12"/>
        <v>2000000</v>
      </c>
      <c r="G26" s="22">
        <f t="shared" si="12"/>
        <v>0</v>
      </c>
      <c r="H26" s="22">
        <f t="shared" si="12"/>
        <v>6000000</v>
      </c>
      <c r="I26" s="22">
        <f t="shared" si="12"/>
        <v>500000</v>
      </c>
      <c r="J26" s="22">
        <f t="shared" si="12"/>
        <v>3500000</v>
      </c>
      <c r="K26" s="22">
        <f t="shared" si="12"/>
        <v>3000000</v>
      </c>
      <c r="L26" s="22">
        <f t="shared" si="12"/>
        <v>4000000</v>
      </c>
      <c r="M26" s="22">
        <f t="shared" si="12"/>
        <v>2000000</v>
      </c>
      <c r="N26" s="22">
        <f t="shared" si="12"/>
        <v>0</v>
      </c>
      <c r="O26" s="22">
        <f t="shared" si="12"/>
        <v>0</v>
      </c>
    </row>
    <row r="27" spans="2:15" ht="15.75">
      <c r="B27" s="5" t="s">
        <v>21</v>
      </c>
      <c r="C27" s="19">
        <f t="shared" si="1"/>
        <v>0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2:15" s="54" customFormat="1" ht="15.75">
      <c r="B28" s="41" t="s">
        <v>221</v>
      </c>
      <c r="C28" s="19">
        <f t="shared" si="1"/>
        <v>21000000</v>
      </c>
      <c r="D28" s="22">
        <f t="shared" ref="D28:O28" si="13">SUM(D29:D30)</f>
        <v>0</v>
      </c>
      <c r="E28" s="22">
        <f t="shared" si="13"/>
        <v>0</v>
      </c>
      <c r="F28" s="22">
        <f t="shared" si="13"/>
        <v>2000000</v>
      </c>
      <c r="G28" s="22">
        <f t="shared" si="13"/>
        <v>0</v>
      </c>
      <c r="H28" s="22">
        <f t="shared" si="13"/>
        <v>6000000</v>
      </c>
      <c r="I28" s="22">
        <f t="shared" si="13"/>
        <v>500000</v>
      </c>
      <c r="J28" s="22">
        <f t="shared" si="13"/>
        <v>3500000</v>
      </c>
      <c r="K28" s="22">
        <f t="shared" si="13"/>
        <v>3000000</v>
      </c>
      <c r="L28" s="22">
        <f t="shared" si="13"/>
        <v>4000000</v>
      </c>
      <c r="M28" s="22">
        <f t="shared" si="13"/>
        <v>2000000</v>
      </c>
      <c r="N28" s="22">
        <f t="shared" si="13"/>
        <v>0</v>
      </c>
      <c r="O28" s="22">
        <f t="shared" si="13"/>
        <v>0</v>
      </c>
    </row>
    <row r="29" spans="2:15" ht="15.75">
      <c r="B29" s="5" t="s">
        <v>220</v>
      </c>
      <c r="C29" s="19">
        <f t="shared" si="1"/>
        <v>0</v>
      </c>
      <c r="D29" s="23">
        <v>0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2:15" ht="98.25" customHeight="1">
      <c r="B30" s="5" t="s">
        <v>355</v>
      </c>
      <c r="C30" s="19">
        <f t="shared" si="1"/>
        <v>21000000</v>
      </c>
      <c r="D30" s="23"/>
      <c r="E30" s="23"/>
      <c r="F30" s="23">
        <v>2000000</v>
      </c>
      <c r="G30" s="23"/>
      <c r="H30" s="23">
        <v>6000000</v>
      </c>
      <c r="I30" s="23">
        <v>500000</v>
      </c>
      <c r="J30" s="23">
        <v>3500000</v>
      </c>
      <c r="K30" s="23">
        <f>800000+2200000</f>
        <v>3000000</v>
      </c>
      <c r="L30" s="23">
        <v>4000000</v>
      </c>
      <c r="M30" s="23">
        <v>2000000</v>
      </c>
      <c r="N30" s="23"/>
      <c r="O30" s="23"/>
    </row>
    <row r="31" spans="2:15" ht="15.75">
      <c r="B31" s="5" t="s">
        <v>22</v>
      </c>
      <c r="C31" s="19">
        <f t="shared" si="1"/>
        <v>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2:15" ht="15.75">
      <c r="B32" s="41" t="s">
        <v>23</v>
      </c>
      <c r="C32" s="19">
        <f t="shared" si="1"/>
        <v>570000</v>
      </c>
      <c r="D32" s="22">
        <f>D33+D34</f>
        <v>0</v>
      </c>
      <c r="E32" s="22">
        <f>E33+E34</f>
        <v>0</v>
      </c>
      <c r="F32" s="22">
        <f>F33+F34</f>
        <v>0</v>
      </c>
      <c r="G32" s="22">
        <f>G33+G34</f>
        <v>0</v>
      </c>
      <c r="H32" s="22">
        <f>H33+H34</f>
        <v>0</v>
      </c>
      <c r="I32" s="22">
        <f t="shared" ref="I32:O32" si="14">I33+I34</f>
        <v>0</v>
      </c>
      <c r="J32" s="22">
        <f t="shared" si="14"/>
        <v>470000</v>
      </c>
      <c r="K32" s="22">
        <f t="shared" si="14"/>
        <v>0</v>
      </c>
      <c r="L32" s="22">
        <f t="shared" si="14"/>
        <v>100000</v>
      </c>
      <c r="M32" s="22">
        <f>M33+M34</f>
        <v>0</v>
      </c>
      <c r="N32" s="22">
        <f t="shared" si="14"/>
        <v>0</v>
      </c>
      <c r="O32" s="22">
        <f t="shared" si="14"/>
        <v>0</v>
      </c>
    </row>
    <row r="33" spans="2:15" ht="15.75">
      <c r="B33" s="5" t="s">
        <v>24</v>
      </c>
      <c r="C33" s="19">
        <f t="shared" si="1"/>
        <v>0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2:15" ht="31.5">
      <c r="B34" s="5" t="s">
        <v>208</v>
      </c>
      <c r="C34" s="19">
        <f t="shared" si="1"/>
        <v>570000</v>
      </c>
      <c r="D34" s="23"/>
      <c r="E34" s="23"/>
      <c r="F34" s="23"/>
      <c r="G34" s="23"/>
      <c r="H34" s="23"/>
      <c r="I34" s="23"/>
      <c r="J34" s="23">
        <v>470000</v>
      </c>
      <c r="K34" s="23"/>
      <c r="L34" s="23">
        <v>100000</v>
      </c>
      <c r="M34" s="23">
        <v>0</v>
      </c>
      <c r="N34" s="23"/>
      <c r="O34" s="23"/>
    </row>
    <row r="35" spans="2:15" ht="15.75">
      <c r="B35" s="41" t="s">
        <v>25</v>
      </c>
      <c r="C35" s="19">
        <f t="shared" si="1"/>
        <v>95740000</v>
      </c>
      <c r="D35" s="22">
        <f>SUM(D37:D45)</f>
        <v>160000</v>
      </c>
      <c r="E35" s="22">
        <f t="shared" ref="E35:O35" si="15">SUM(E37:E45)</f>
        <v>0</v>
      </c>
      <c r="F35" s="22">
        <f t="shared" si="15"/>
        <v>10000000</v>
      </c>
      <c r="G35" s="22">
        <f t="shared" si="15"/>
        <v>600000</v>
      </c>
      <c r="H35" s="22">
        <f t="shared" si="15"/>
        <v>23600000</v>
      </c>
      <c r="I35" s="22">
        <f t="shared" si="15"/>
        <v>10800000</v>
      </c>
      <c r="J35" s="22">
        <f t="shared" si="15"/>
        <v>6800000</v>
      </c>
      <c r="K35" s="22">
        <f t="shared" si="15"/>
        <v>3700000</v>
      </c>
      <c r="L35" s="22">
        <f t="shared" si="15"/>
        <v>23300000</v>
      </c>
      <c r="M35" s="22">
        <f t="shared" si="15"/>
        <v>16400000</v>
      </c>
      <c r="N35" s="22">
        <f t="shared" si="15"/>
        <v>380000</v>
      </c>
      <c r="O35" s="22">
        <f t="shared" si="15"/>
        <v>0</v>
      </c>
    </row>
    <row r="36" spans="2:15" ht="15.75">
      <c r="B36" s="5" t="s">
        <v>26</v>
      </c>
      <c r="C36" s="19">
        <f t="shared" si="1"/>
        <v>22640000</v>
      </c>
      <c r="D36" s="22">
        <f>D37+D38+D39</f>
        <v>160000</v>
      </c>
      <c r="E36" s="22">
        <f t="shared" ref="E36:O36" si="16">E37+E38+E39</f>
        <v>0</v>
      </c>
      <c r="F36" s="22">
        <f t="shared" si="16"/>
        <v>0</v>
      </c>
      <c r="G36" s="22">
        <f t="shared" si="16"/>
        <v>0</v>
      </c>
      <c r="H36" s="22">
        <f t="shared" si="16"/>
        <v>0</v>
      </c>
      <c r="I36" s="22">
        <f t="shared" si="16"/>
        <v>8800000</v>
      </c>
      <c r="J36" s="22">
        <f t="shared" si="16"/>
        <v>800000</v>
      </c>
      <c r="K36" s="22">
        <f t="shared" si="16"/>
        <v>3300000</v>
      </c>
      <c r="L36" s="22">
        <f t="shared" si="16"/>
        <v>4000000</v>
      </c>
      <c r="M36" s="22">
        <f t="shared" si="16"/>
        <v>5500000</v>
      </c>
      <c r="N36" s="22">
        <f t="shared" si="16"/>
        <v>80000</v>
      </c>
      <c r="O36" s="22">
        <f t="shared" si="16"/>
        <v>0</v>
      </c>
    </row>
    <row r="37" spans="2:15" ht="15.75">
      <c r="B37" s="5" t="s">
        <v>223</v>
      </c>
      <c r="C37" s="19">
        <f t="shared" si="1"/>
        <v>14220000</v>
      </c>
      <c r="D37" s="23"/>
      <c r="E37" s="23"/>
      <c r="F37" s="23"/>
      <c r="G37" s="23"/>
      <c r="H37" s="23"/>
      <c r="I37" s="23">
        <v>8800000</v>
      </c>
      <c r="J37" s="23">
        <v>500000</v>
      </c>
      <c r="K37" s="23">
        <v>400000</v>
      </c>
      <c r="L37" s="23">
        <v>1000000</v>
      </c>
      <c r="M37" s="23">
        <v>3500000</v>
      </c>
      <c r="N37" s="23">
        <v>20000</v>
      </c>
      <c r="O37" s="23"/>
    </row>
    <row r="38" spans="2:15" ht="15.75">
      <c r="B38" s="5" t="s">
        <v>224</v>
      </c>
      <c r="C38" s="19">
        <f t="shared" si="1"/>
        <v>2000000</v>
      </c>
      <c r="D38" s="23"/>
      <c r="E38" s="23"/>
      <c r="F38" s="23"/>
      <c r="G38" s="23"/>
      <c r="H38" s="23"/>
      <c r="I38" s="23"/>
      <c r="J38" s="23"/>
      <c r="K38" s="23">
        <v>2000000</v>
      </c>
      <c r="L38" s="23"/>
      <c r="M38" s="23"/>
      <c r="N38" s="23"/>
      <c r="O38" s="23"/>
    </row>
    <row r="39" spans="2:15" ht="15.75">
      <c r="B39" s="5" t="s">
        <v>225</v>
      </c>
      <c r="C39" s="19">
        <f t="shared" si="1"/>
        <v>6420000</v>
      </c>
      <c r="D39" s="23">
        <v>160000</v>
      </c>
      <c r="E39" s="23"/>
      <c r="F39" s="23"/>
      <c r="G39" s="23"/>
      <c r="H39" s="23"/>
      <c r="I39" s="23"/>
      <c r="J39" s="23">
        <v>300000</v>
      </c>
      <c r="K39" s="23">
        <v>900000</v>
      </c>
      <c r="L39" s="23">
        <v>3000000</v>
      </c>
      <c r="M39" s="23">
        <v>2000000</v>
      </c>
      <c r="N39" s="23">
        <v>60000</v>
      </c>
      <c r="O39" s="23"/>
    </row>
    <row r="40" spans="2:15" ht="15.75">
      <c r="B40" s="5" t="s">
        <v>27</v>
      </c>
      <c r="C40" s="19">
        <f t="shared" si="1"/>
        <v>100000</v>
      </c>
      <c r="D40" s="23"/>
      <c r="E40" s="23"/>
      <c r="F40" s="23"/>
      <c r="G40" s="23"/>
      <c r="H40" s="23"/>
      <c r="I40" s="23"/>
      <c r="J40" s="23">
        <v>100000</v>
      </c>
      <c r="K40" s="23"/>
      <c r="L40" s="23"/>
      <c r="M40" s="23"/>
      <c r="N40" s="23"/>
      <c r="O40" s="23"/>
    </row>
    <row r="41" spans="2:15" ht="15.75">
      <c r="B41" s="5" t="s">
        <v>28</v>
      </c>
      <c r="C41" s="19">
        <f t="shared" si="1"/>
        <v>0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2:15" ht="162" customHeight="1">
      <c r="B42" s="5" t="s">
        <v>371</v>
      </c>
      <c r="C42" s="19">
        <f t="shared" si="1"/>
        <v>50300000</v>
      </c>
      <c r="D42" s="23"/>
      <c r="E42" s="23"/>
      <c r="F42" s="23">
        <v>10000000</v>
      </c>
      <c r="G42" s="23"/>
      <c r="H42" s="23">
        <v>23000000</v>
      </c>
      <c r="I42" s="23">
        <v>2000000</v>
      </c>
      <c r="J42" s="23">
        <v>3000000</v>
      </c>
      <c r="K42" s="23">
        <v>300000</v>
      </c>
      <c r="L42" s="102">
        <f>6000000+800000</f>
        <v>6800000</v>
      </c>
      <c r="M42" s="23">
        <f>3000000+1900000</f>
        <v>4900000</v>
      </c>
      <c r="N42" s="23">
        <v>300000</v>
      </c>
      <c r="O42" s="23"/>
    </row>
    <row r="43" spans="2:15" ht="15.75">
      <c r="B43" s="5" t="s">
        <v>30</v>
      </c>
      <c r="C43" s="19">
        <f t="shared" si="1"/>
        <v>0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2:15" ht="15.75">
      <c r="B44" s="5" t="s">
        <v>31</v>
      </c>
      <c r="C44" s="19">
        <f t="shared" si="1"/>
        <v>0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2:15" ht="47.25">
      <c r="B45" s="44" t="s">
        <v>372</v>
      </c>
      <c r="C45" s="19">
        <f t="shared" si="1"/>
        <v>22700000</v>
      </c>
      <c r="D45" s="24"/>
      <c r="E45" s="24"/>
      <c r="F45" s="24"/>
      <c r="G45" s="24">
        <v>600000</v>
      </c>
      <c r="H45" s="24">
        <v>600000</v>
      </c>
      <c r="I45" s="24"/>
      <c r="J45" s="24">
        <v>2900000</v>
      </c>
      <c r="K45" s="24">
        <v>100000</v>
      </c>
      <c r="L45" s="24">
        <v>12500000</v>
      </c>
      <c r="M45" s="24">
        <v>6000000</v>
      </c>
      <c r="N45" s="24"/>
      <c r="O45" s="24"/>
    </row>
    <row r="46" spans="2:15" ht="15.75">
      <c r="B46" s="41" t="s">
        <v>32</v>
      </c>
      <c r="C46" s="19">
        <f t="shared" si="1"/>
        <v>6120000</v>
      </c>
      <c r="D46" s="22">
        <f>D47+D48</f>
        <v>0</v>
      </c>
      <c r="E46" s="22">
        <f>E47+E48</f>
        <v>0</v>
      </c>
      <c r="F46" s="22">
        <f>F47+F48</f>
        <v>0</v>
      </c>
      <c r="G46" s="22">
        <f>G47+G48</f>
        <v>0</v>
      </c>
      <c r="H46" s="22">
        <f>H47+H48</f>
        <v>0</v>
      </c>
      <c r="I46" s="22">
        <f t="shared" ref="I46:O46" si="17">I47+I48</f>
        <v>0</v>
      </c>
      <c r="J46" s="22">
        <f t="shared" si="17"/>
        <v>420000</v>
      </c>
      <c r="K46" s="22">
        <f t="shared" si="17"/>
        <v>0</v>
      </c>
      <c r="L46" s="22">
        <f t="shared" si="17"/>
        <v>5700000</v>
      </c>
      <c r="M46" s="22">
        <f>M47+M48</f>
        <v>0</v>
      </c>
      <c r="N46" s="22">
        <f t="shared" si="17"/>
        <v>0</v>
      </c>
      <c r="O46" s="22">
        <f t="shared" si="17"/>
        <v>0</v>
      </c>
    </row>
    <row r="47" spans="2:15" ht="15.75">
      <c r="B47" s="5" t="s">
        <v>33</v>
      </c>
      <c r="C47" s="19">
        <f t="shared" si="1"/>
        <v>420000</v>
      </c>
      <c r="D47" s="23"/>
      <c r="E47" s="23"/>
      <c r="F47" s="23"/>
      <c r="G47" s="23"/>
      <c r="H47" s="23"/>
      <c r="I47" s="23"/>
      <c r="J47" s="23">
        <f>15000*12+10000*12+120000</f>
        <v>420000</v>
      </c>
      <c r="K47" s="23"/>
      <c r="L47" s="23"/>
      <c r="M47" s="23"/>
      <c r="N47" s="23"/>
      <c r="O47" s="23"/>
    </row>
    <row r="48" spans="2:15" ht="15.75">
      <c r="B48" s="5" t="s">
        <v>34</v>
      </c>
      <c r="C48" s="19">
        <f t="shared" si="1"/>
        <v>5700000</v>
      </c>
      <c r="D48" s="23"/>
      <c r="E48" s="23"/>
      <c r="F48" s="23"/>
      <c r="G48" s="23"/>
      <c r="H48" s="23"/>
      <c r="I48" s="23"/>
      <c r="J48" s="23"/>
      <c r="K48" s="23"/>
      <c r="L48" s="23">
        <v>5700000</v>
      </c>
      <c r="M48" s="23"/>
      <c r="N48" s="23"/>
      <c r="O48" s="23"/>
    </row>
    <row r="49" spans="2:15" ht="15.75">
      <c r="B49" s="41" t="s">
        <v>35</v>
      </c>
      <c r="C49" s="19">
        <f t="shared" si="1"/>
        <v>49763700</v>
      </c>
      <c r="D49" s="22">
        <f>D50+D52+D53+D54+D55+D51</f>
        <v>43200</v>
      </c>
      <c r="E49" s="22">
        <f t="shared" ref="E49:O49" si="18">E50+E52+E53+E54+E55+E51</f>
        <v>0</v>
      </c>
      <c r="F49" s="22">
        <f t="shared" si="18"/>
        <v>3240000</v>
      </c>
      <c r="G49" s="22">
        <f t="shared" si="18"/>
        <v>162000</v>
      </c>
      <c r="H49" s="22">
        <f t="shared" si="18"/>
        <v>7992000.0000000009</v>
      </c>
      <c r="I49" s="22">
        <f t="shared" si="18"/>
        <v>3051000</v>
      </c>
      <c r="J49" s="22">
        <f t="shared" si="18"/>
        <v>3357900</v>
      </c>
      <c r="K49" s="22">
        <f t="shared" si="18"/>
        <v>1350000</v>
      </c>
      <c r="L49" s="22">
        <f t="shared" si="18"/>
        <v>27340000</v>
      </c>
      <c r="M49" s="22">
        <f t="shared" si="18"/>
        <v>3125000</v>
      </c>
      <c r="N49" s="22">
        <f t="shared" si="18"/>
        <v>102600</v>
      </c>
      <c r="O49" s="22">
        <f t="shared" si="18"/>
        <v>0</v>
      </c>
    </row>
    <row r="50" spans="2:15" ht="15.75">
      <c r="B50" s="45" t="s">
        <v>36</v>
      </c>
      <c r="C50" s="84">
        <f>SUM(D50:O50)</f>
        <v>17498700</v>
      </c>
      <c r="D50" s="24">
        <f t="shared" ref="D50:G50" si="19">(D35+D32+D26)*0.27</f>
        <v>43200</v>
      </c>
      <c r="E50" s="24">
        <f t="shared" si="19"/>
        <v>0</v>
      </c>
      <c r="F50" s="24">
        <f t="shared" si="19"/>
        <v>3240000</v>
      </c>
      <c r="G50" s="24">
        <f t="shared" si="19"/>
        <v>162000</v>
      </c>
      <c r="H50" s="24">
        <f>(H35+H32+H26)*0.27</f>
        <v>7992000.0000000009</v>
      </c>
      <c r="I50" s="24">
        <f>(I35+I32+I26)*0.27</f>
        <v>3051000</v>
      </c>
      <c r="J50" s="24">
        <f>(J35+J32+J26)*0.27</f>
        <v>2907900</v>
      </c>
      <c r="K50" s="24">
        <v>0</v>
      </c>
      <c r="L50" s="24">
        <v>0</v>
      </c>
      <c r="M50" s="24">
        <v>0</v>
      </c>
      <c r="N50" s="24">
        <f t="shared" ref="N50:O50" si="20">(N35+N32+N26)*0.27</f>
        <v>102600</v>
      </c>
      <c r="O50" s="24">
        <f t="shared" si="20"/>
        <v>0</v>
      </c>
    </row>
    <row r="51" spans="2:15" ht="31.5">
      <c r="B51" s="45" t="s">
        <v>304</v>
      </c>
      <c r="C51" s="84">
        <f t="shared" ref="C51" si="21">SUM(D51:O51)</f>
        <v>14175000.000000002</v>
      </c>
      <c r="D51" s="24"/>
      <c r="E51" s="24"/>
      <c r="F51" s="24"/>
      <c r="G51" s="24"/>
      <c r="H51" s="24"/>
      <c r="I51" s="24"/>
      <c r="J51" s="24"/>
      <c r="K51" s="24">
        <f t="shared" ref="K51:O51" si="22">(K35+K32+K26)*0.27</f>
        <v>1809000.0000000002</v>
      </c>
      <c r="L51" s="24">
        <f t="shared" si="22"/>
        <v>7398000.0000000009</v>
      </c>
      <c r="M51" s="24">
        <f t="shared" si="22"/>
        <v>4968000</v>
      </c>
      <c r="N51" s="24">
        <v>0</v>
      </c>
      <c r="O51" s="24">
        <f t="shared" si="22"/>
        <v>0</v>
      </c>
    </row>
    <row r="52" spans="2:15" ht="15.75">
      <c r="B52" s="5" t="s">
        <v>37</v>
      </c>
      <c r="C52" s="19">
        <f t="shared" si="1"/>
        <v>17500000</v>
      </c>
      <c r="D52" s="23"/>
      <c r="E52" s="23"/>
      <c r="F52" s="23"/>
      <c r="G52" s="23"/>
      <c r="H52" s="23"/>
      <c r="I52" s="23"/>
      <c r="J52" s="23"/>
      <c r="K52" s="23">
        <f>K168-K51</f>
        <v>-459000.00000000023</v>
      </c>
      <c r="L52" s="67">
        <f>L168-L51</f>
        <v>19872000</v>
      </c>
      <c r="M52" s="23">
        <f>M168-M51</f>
        <v>-1913000</v>
      </c>
      <c r="N52" s="23"/>
      <c r="O52" s="23"/>
    </row>
    <row r="53" spans="2:15" ht="15.75">
      <c r="B53" s="5" t="s">
        <v>38</v>
      </c>
      <c r="C53" s="19">
        <f t="shared" si="1"/>
        <v>0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2:15" ht="15.75">
      <c r="B54" s="5" t="s">
        <v>39</v>
      </c>
      <c r="C54" s="19">
        <f t="shared" si="1"/>
        <v>0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31.5">
      <c r="B55" s="5" t="s">
        <v>210</v>
      </c>
      <c r="C55" s="19">
        <f t="shared" si="1"/>
        <v>590000</v>
      </c>
      <c r="D55" s="23"/>
      <c r="E55" s="23"/>
      <c r="F55" s="23"/>
      <c r="G55" s="23"/>
      <c r="H55" s="23"/>
      <c r="I55" s="23"/>
      <c r="J55" s="23">
        <v>450000</v>
      </c>
      <c r="K55" s="23"/>
      <c r="L55" s="23">
        <v>70000</v>
      </c>
      <c r="M55" s="23">
        <v>70000</v>
      </c>
      <c r="N55" s="23"/>
      <c r="O55" s="23"/>
    </row>
    <row r="56" spans="2:15" ht="15.75">
      <c r="B56" s="42" t="s">
        <v>40</v>
      </c>
      <c r="C56" s="19">
        <f>SUM(D56:O56)</f>
        <v>173193700</v>
      </c>
      <c r="D56" s="22">
        <f t="shared" ref="D56:O56" si="23">D26+D32+D35+D46+D49</f>
        <v>203200</v>
      </c>
      <c r="E56" s="22">
        <f t="shared" si="23"/>
        <v>0</v>
      </c>
      <c r="F56" s="22">
        <f t="shared" si="23"/>
        <v>15240000</v>
      </c>
      <c r="G56" s="22">
        <f t="shared" si="23"/>
        <v>762000</v>
      </c>
      <c r="H56" s="22">
        <f t="shared" si="23"/>
        <v>37592000</v>
      </c>
      <c r="I56" s="22">
        <f t="shared" si="23"/>
        <v>14351000</v>
      </c>
      <c r="J56" s="22">
        <f t="shared" si="23"/>
        <v>14547900</v>
      </c>
      <c r="K56" s="22">
        <f t="shared" si="23"/>
        <v>8050000</v>
      </c>
      <c r="L56" s="22">
        <f t="shared" si="23"/>
        <v>60440000</v>
      </c>
      <c r="M56" s="22">
        <f t="shared" si="23"/>
        <v>21525000</v>
      </c>
      <c r="N56" s="22">
        <f t="shared" si="23"/>
        <v>482600</v>
      </c>
      <c r="O56" s="22">
        <f t="shared" si="23"/>
        <v>0</v>
      </c>
    </row>
    <row r="57" spans="2:15" ht="15.75">
      <c r="B57" s="5" t="s">
        <v>41</v>
      </c>
      <c r="C57" s="19">
        <f t="shared" si="1"/>
        <v>0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2:15" ht="15.75">
      <c r="B58" s="5" t="s">
        <v>42</v>
      </c>
      <c r="C58" s="19">
        <f t="shared" si="1"/>
        <v>0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2:15" ht="15.75">
      <c r="B59" s="45" t="s">
        <v>43</v>
      </c>
      <c r="C59" s="19">
        <f t="shared" si="1"/>
        <v>0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2:15" ht="15.75">
      <c r="B60" s="5" t="s">
        <v>44</v>
      </c>
      <c r="C60" s="19">
        <f t="shared" si="1"/>
        <v>0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2:15" ht="15.75">
      <c r="B61" s="5" t="s">
        <v>45</v>
      </c>
      <c r="C61" s="19">
        <f t="shared" si="1"/>
        <v>0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2:15" ht="15.75">
      <c r="B62" s="5" t="s">
        <v>46</v>
      </c>
      <c r="C62" s="19">
        <f t="shared" si="1"/>
        <v>0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2:15" ht="15.75">
      <c r="B63" s="5" t="s">
        <v>47</v>
      </c>
      <c r="C63" s="19">
        <f t="shared" si="1"/>
        <v>0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4" spans="2:15" ht="15.75">
      <c r="B64" s="5" t="s">
        <v>48</v>
      </c>
      <c r="C64" s="19">
        <f t="shared" si="1"/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2:15" ht="15.75">
      <c r="B65" s="42" t="s">
        <v>49</v>
      </c>
      <c r="C65" s="19">
        <f t="shared" si="1"/>
        <v>0</v>
      </c>
      <c r="D65" s="22">
        <f>SUM(D57:D64)</f>
        <v>0</v>
      </c>
      <c r="E65" s="22">
        <f>SUM(E57:E64)</f>
        <v>0</v>
      </c>
      <c r="F65" s="22">
        <f>SUM(F57:F64)</f>
        <v>0</v>
      </c>
      <c r="G65" s="22">
        <f>SUM(G57:G64)</f>
        <v>0</v>
      </c>
      <c r="H65" s="22">
        <f>SUM(H57:H64)</f>
        <v>0</v>
      </c>
      <c r="I65" s="22">
        <f t="shared" ref="I65:O65" si="24">SUM(I57:I64)</f>
        <v>0</v>
      </c>
      <c r="J65" s="22">
        <f t="shared" si="24"/>
        <v>0</v>
      </c>
      <c r="K65" s="22">
        <f t="shared" si="24"/>
        <v>0</v>
      </c>
      <c r="L65" s="22">
        <f t="shared" si="24"/>
        <v>0</v>
      </c>
      <c r="M65" s="22">
        <f>SUM(M57:M64)</f>
        <v>0</v>
      </c>
      <c r="N65" s="22">
        <f t="shared" si="24"/>
        <v>0</v>
      </c>
      <c r="O65" s="22">
        <f t="shared" si="24"/>
        <v>0</v>
      </c>
    </row>
    <row r="66" spans="2:15" ht="15.75">
      <c r="B66" s="5" t="s">
        <v>50</v>
      </c>
      <c r="C66" s="19">
        <f t="shared" si="1"/>
        <v>0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2:15" ht="15.75">
      <c r="B67" s="5" t="s">
        <v>51</v>
      </c>
      <c r="C67" s="19">
        <f t="shared" si="1"/>
        <v>0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2:15" ht="31.5">
      <c r="B68" s="5" t="s">
        <v>52</v>
      </c>
      <c r="C68" s="19">
        <f t="shared" si="1"/>
        <v>0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2:15" ht="31.5">
      <c r="B69" s="5" t="s">
        <v>53</v>
      </c>
      <c r="C69" s="19">
        <f t="shared" si="1"/>
        <v>0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</row>
    <row r="70" spans="2:15" ht="31.5">
      <c r="B70" s="5" t="s">
        <v>54</v>
      </c>
      <c r="C70" s="19">
        <f t="shared" si="1"/>
        <v>0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</row>
    <row r="71" spans="2:15" ht="15.75">
      <c r="B71" s="5" t="s">
        <v>55</v>
      </c>
      <c r="C71" s="19">
        <f t="shared" ref="C71:C102" si="25">SUM(D71:O71)</f>
        <v>0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</row>
    <row r="72" spans="2:15" ht="31.5">
      <c r="B72" s="5" t="s">
        <v>56</v>
      </c>
      <c r="C72" s="19">
        <f t="shared" si="25"/>
        <v>0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2:15" ht="31.5">
      <c r="B73" s="5" t="s">
        <v>57</v>
      </c>
      <c r="C73" s="19">
        <f t="shared" si="25"/>
        <v>0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</row>
    <row r="74" spans="2:15" ht="15.75">
      <c r="B74" s="5" t="s">
        <v>58</v>
      </c>
      <c r="C74" s="19">
        <f t="shared" si="25"/>
        <v>0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</row>
    <row r="75" spans="2:15" ht="15.75">
      <c r="B75" s="5" t="s">
        <v>59</v>
      </c>
      <c r="C75" s="19">
        <f t="shared" si="25"/>
        <v>0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6" spans="2:15" ht="15.75">
      <c r="B76" s="5" t="s">
        <v>60</v>
      </c>
      <c r="C76" s="19">
        <f t="shared" si="25"/>
        <v>0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</row>
    <row r="77" spans="2:15" ht="15.75">
      <c r="B77" s="5" t="s">
        <v>61</v>
      </c>
      <c r="C77" s="19">
        <f t="shared" si="25"/>
        <v>0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</row>
    <row r="78" spans="2:15" ht="15.75">
      <c r="B78" s="5" t="s">
        <v>62</v>
      </c>
      <c r="C78" s="19">
        <f t="shared" si="25"/>
        <v>0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</row>
    <row r="79" spans="2:15" ht="15.75">
      <c r="B79" s="42" t="s">
        <v>63</v>
      </c>
      <c r="C79" s="19">
        <f t="shared" si="25"/>
        <v>0</v>
      </c>
      <c r="D79" s="22">
        <f>SUM(D66:D78)</f>
        <v>0</v>
      </c>
      <c r="E79" s="22">
        <f>SUM(E66:E78)</f>
        <v>0</v>
      </c>
      <c r="F79" s="22">
        <f>SUM(F66:F78)</f>
        <v>0</v>
      </c>
      <c r="G79" s="22">
        <f>SUM(G66:G78)</f>
        <v>0</v>
      </c>
      <c r="H79" s="22">
        <f>SUM(H66:H78)</f>
        <v>0</v>
      </c>
      <c r="I79" s="22">
        <f t="shared" ref="I79:O79" si="26">SUM(I66:I78)</f>
        <v>0</v>
      </c>
      <c r="J79" s="22">
        <f t="shared" si="26"/>
        <v>0</v>
      </c>
      <c r="K79" s="22">
        <f t="shared" si="26"/>
        <v>0</v>
      </c>
      <c r="L79" s="22">
        <f t="shared" si="26"/>
        <v>0</v>
      </c>
      <c r="M79" s="22">
        <f>SUM(M66:M78)</f>
        <v>0</v>
      </c>
      <c r="N79" s="22">
        <f t="shared" si="26"/>
        <v>0</v>
      </c>
      <c r="O79" s="22">
        <f t="shared" si="26"/>
        <v>0</v>
      </c>
    </row>
    <row r="80" spans="2:15" ht="31.5">
      <c r="B80" s="46" t="s">
        <v>64</v>
      </c>
      <c r="C80" s="19">
        <f t="shared" si="25"/>
        <v>278885256.875</v>
      </c>
      <c r="D80" s="22">
        <f>D21+D22+D56+D65+D79</f>
        <v>203200</v>
      </c>
      <c r="E80" s="22">
        <f t="shared" ref="E80:O80" si="27">E21+E22+E56+E65+E79</f>
        <v>0</v>
      </c>
      <c r="F80" s="22">
        <f t="shared" si="27"/>
        <v>15240000</v>
      </c>
      <c r="G80" s="22">
        <f t="shared" si="27"/>
        <v>762000</v>
      </c>
      <c r="H80" s="22">
        <f t="shared" si="27"/>
        <v>37592000</v>
      </c>
      <c r="I80" s="22">
        <f t="shared" si="27"/>
        <v>14351000</v>
      </c>
      <c r="J80" s="22">
        <f t="shared" si="27"/>
        <v>96954462.5</v>
      </c>
      <c r="K80" s="22">
        <f t="shared" si="27"/>
        <v>8050000</v>
      </c>
      <c r="L80" s="22">
        <f t="shared" si="27"/>
        <v>74249719.375</v>
      </c>
      <c r="M80" s="22">
        <f t="shared" si="27"/>
        <v>31000275</v>
      </c>
      <c r="N80" s="22">
        <f t="shared" si="27"/>
        <v>482600</v>
      </c>
      <c r="O80" s="22">
        <f t="shared" si="27"/>
        <v>0</v>
      </c>
    </row>
    <row r="81" spans="2:15" ht="15.75">
      <c r="B81" s="5" t="s">
        <v>65</v>
      </c>
      <c r="C81" s="19">
        <f t="shared" si="25"/>
        <v>0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</row>
    <row r="82" spans="2:15" ht="15.75">
      <c r="B82" s="5" t="s">
        <v>66</v>
      </c>
      <c r="C82" s="19">
        <f t="shared" si="25"/>
        <v>0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</row>
    <row r="83" spans="2:15" ht="15.75">
      <c r="B83" s="5" t="s">
        <v>67</v>
      </c>
      <c r="C83" s="19">
        <f t="shared" si="25"/>
        <v>0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</row>
    <row r="84" spans="2:15" ht="15.75">
      <c r="B84" s="5" t="s">
        <v>68</v>
      </c>
      <c r="C84" s="19">
        <f t="shared" si="25"/>
        <v>2300000</v>
      </c>
      <c r="D84" s="23"/>
      <c r="E84" s="23"/>
      <c r="F84" s="23"/>
      <c r="G84" s="23"/>
      <c r="H84" s="23"/>
      <c r="I84" s="23"/>
      <c r="J84" s="101">
        <f>C250</f>
        <v>2300000</v>
      </c>
      <c r="K84" s="23"/>
      <c r="L84" s="23"/>
      <c r="M84" s="23"/>
      <c r="N84" s="23"/>
      <c r="O84" s="23"/>
    </row>
    <row r="85" spans="2:15" ht="15.75">
      <c r="B85" s="5" t="s">
        <v>69</v>
      </c>
      <c r="C85" s="19">
        <f t="shared" si="25"/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</row>
    <row r="86" spans="2:15" ht="15.75">
      <c r="B86" s="5" t="s">
        <v>70</v>
      </c>
      <c r="C86" s="19">
        <f t="shared" si="25"/>
        <v>0</v>
      </c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</row>
    <row r="87" spans="2:15" ht="15.75">
      <c r="B87" s="5" t="s">
        <v>71</v>
      </c>
      <c r="C87" s="19">
        <f t="shared" si="25"/>
        <v>621000</v>
      </c>
      <c r="D87" s="23"/>
      <c r="E87" s="23"/>
      <c r="F87" s="23"/>
      <c r="G87" s="23"/>
      <c r="H87" s="23"/>
      <c r="I87" s="23"/>
      <c r="J87" s="23">
        <f>J84*0.27</f>
        <v>621000</v>
      </c>
      <c r="K87" s="23"/>
      <c r="L87" s="23"/>
      <c r="M87" s="23"/>
      <c r="N87" s="23"/>
      <c r="O87" s="23"/>
    </row>
    <row r="88" spans="2:15" ht="15.75">
      <c r="B88" s="42" t="s">
        <v>72</v>
      </c>
      <c r="C88" s="19">
        <f t="shared" si="25"/>
        <v>2921000</v>
      </c>
      <c r="D88" s="22">
        <f>SUM(D81:D87)</f>
        <v>0</v>
      </c>
      <c r="E88" s="22">
        <f>SUM(E81:E87)</f>
        <v>0</v>
      </c>
      <c r="F88" s="22">
        <f>SUM(F81:F87)</f>
        <v>0</v>
      </c>
      <c r="G88" s="22">
        <f>SUM(G81:G87)</f>
        <v>0</v>
      </c>
      <c r="H88" s="22">
        <f>SUM(H81:H87)</f>
        <v>0</v>
      </c>
      <c r="I88" s="22">
        <f t="shared" ref="I88:O88" si="28">SUM(I81:I87)</f>
        <v>0</v>
      </c>
      <c r="J88" s="22">
        <f t="shared" si="28"/>
        <v>2921000</v>
      </c>
      <c r="K88" s="22">
        <f t="shared" si="28"/>
        <v>0</v>
      </c>
      <c r="L88" s="22">
        <f t="shared" si="28"/>
        <v>0</v>
      </c>
      <c r="M88" s="22">
        <f>SUM(M81:M87)</f>
        <v>0</v>
      </c>
      <c r="N88" s="22">
        <f t="shared" si="28"/>
        <v>0</v>
      </c>
      <c r="O88" s="22">
        <f t="shared" si="28"/>
        <v>0</v>
      </c>
    </row>
    <row r="89" spans="2:15" ht="15.75">
      <c r="B89" s="5" t="s">
        <v>73</v>
      </c>
      <c r="C89" s="19">
        <f t="shared" si="25"/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</row>
    <row r="90" spans="2:15" ht="15.75">
      <c r="B90" s="5" t="s">
        <v>74</v>
      </c>
      <c r="C90" s="19">
        <f t="shared" si="25"/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</row>
    <row r="91" spans="2:15" ht="15.75">
      <c r="B91" s="5" t="s">
        <v>75</v>
      </c>
      <c r="C91" s="19">
        <f t="shared" si="25"/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</row>
    <row r="92" spans="2:15" ht="15.75">
      <c r="B92" s="5" t="s">
        <v>76</v>
      </c>
      <c r="C92" s="19">
        <f t="shared" si="25"/>
        <v>0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</row>
    <row r="93" spans="2:15" ht="15.75">
      <c r="B93" s="42" t="s">
        <v>77</v>
      </c>
      <c r="C93" s="19">
        <f t="shared" si="25"/>
        <v>0</v>
      </c>
      <c r="D93" s="22">
        <f>SUM(D89:D92)</f>
        <v>0</v>
      </c>
      <c r="E93" s="22">
        <f>SUM(E89:E92)</f>
        <v>0</v>
      </c>
      <c r="F93" s="22">
        <f>SUM(F89:F92)</f>
        <v>0</v>
      </c>
      <c r="G93" s="22">
        <f>SUM(G89:G92)</f>
        <v>0</v>
      </c>
      <c r="H93" s="22">
        <f>SUM(H89:H92)</f>
        <v>0</v>
      </c>
      <c r="I93" s="22">
        <f t="shared" ref="I93:O93" si="29">SUM(I89:I92)</f>
        <v>0</v>
      </c>
      <c r="J93" s="22">
        <f t="shared" si="29"/>
        <v>0</v>
      </c>
      <c r="K93" s="22">
        <f t="shared" si="29"/>
        <v>0</v>
      </c>
      <c r="L93" s="22">
        <f t="shared" si="29"/>
        <v>0</v>
      </c>
      <c r="M93" s="22">
        <f>SUM(M89:M92)</f>
        <v>0</v>
      </c>
      <c r="N93" s="22">
        <f t="shared" si="29"/>
        <v>0</v>
      </c>
      <c r="O93" s="22">
        <f t="shared" si="29"/>
        <v>0</v>
      </c>
    </row>
    <row r="94" spans="2:15" ht="31.5">
      <c r="B94" s="5" t="s">
        <v>78</v>
      </c>
      <c r="C94" s="19">
        <f t="shared" si="25"/>
        <v>0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</row>
    <row r="95" spans="2:15" ht="31.5">
      <c r="B95" s="5" t="s">
        <v>79</v>
      </c>
      <c r="C95" s="19">
        <f t="shared" si="25"/>
        <v>0</v>
      </c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</row>
    <row r="96" spans="2:15" ht="31.5">
      <c r="B96" s="5" t="s">
        <v>80</v>
      </c>
      <c r="C96" s="19">
        <f t="shared" si="25"/>
        <v>0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</row>
    <row r="97" spans="2:15" ht="15.75">
      <c r="B97" s="5" t="s">
        <v>81</v>
      </c>
      <c r="C97" s="19">
        <f t="shared" si="25"/>
        <v>0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</row>
    <row r="98" spans="2:15" ht="31.5">
      <c r="B98" s="5" t="s">
        <v>82</v>
      </c>
      <c r="C98" s="19">
        <f t="shared" si="25"/>
        <v>0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</row>
    <row r="99" spans="2:15" ht="31.5">
      <c r="B99" s="5" t="s">
        <v>83</v>
      </c>
      <c r="C99" s="19">
        <f t="shared" si="25"/>
        <v>0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</row>
    <row r="100" spans="2:15" ht="15.75">
      <c r="B100" s="5" t="s">
        <v>84</v>
      </c>
      <c r="C100" s="19">
        <f t="shared" si="25"/>
        <v>0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</row>
    <row r="101" spans="2:15" ht="15.75">
      <c r="B101" s="5" t="s">
        <v>85</v>
      </c>
      <c r="C101" s="19">
        <f t="shared" si="25"/>
        <v>0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</row>
    <row r="102" spans="2:15" ht="15.75">
      <c r="B102" s="42" t="s">
        <v>86</v>
      </c>
      <c r="C102" s="19">
        <f t="shared" si="25"/>
        <v>0</v>
      </c>
      <c r="D102" s="22">
        <f>SUM(D94:D101)</f>
        <v>0</v>
      </c>
      <c r="E102" s="22">
        <f t="shared" ref="E102:O102" si="30">SUM(E94:E101)</f>
        <v>0</v>
      </c>
      <c r="F102" s="22">
        <f t="shared" si="30"/>
        <v>0</v>
      </c>
      <c r="G102" s="22">
        <f t="shared" si="30"/>
        <v>0</v>
      </c>
      <c r="H102" s="22">
        <f t="shared" si="30"/>
        <v>0</v>
      </c>
      <c r="I102" s="22">
        <f t="shared" si="30"/>
        <v>0</v>
      </c>
      <c r="J102" s="22">
        <f t="shared" si="30"/>
        <v>0</v>
      </c>
      <c r="K102" s="22">
        <f t="shared" si="30"/>
        <v>0</v>
      </c>
      <c r="L102" s="22">
        <f t="shared" si="30"/>
        <v>0</v>
      </c>
      <c r="M102" s="22">
        <f>SUM(M94:M101)</f>
        <v>0</v>
      </c>
      <c r="N102" s="22">
        <f t="shared" si="30"/>
        <v>0</v>
      </c>
      <c r="O102" s="22">
        <f t="shared" si="30"/>
        <v>0</v>
      </c>
    </row>
    <row r="103" spans="2:15" ht="31.5">
      <c r="B103" s="46" t="s">
        <v>87</v>
      </c>
      <c r="C103" s="19">
        <f t="shared" ref="C103:C133" si="31">SUM(D103:O103)</f>
        <v>2921000</v>
      </c>
      <c r="D103" s="22">
        <f>D88+D93+D102</f>
        <v>0</v>
      </c>
      <c r="E103" s="22">
        <f>E88+E93+E102</f>
        <v>0</v>
      </c>
      <c r="F103" s="22">
        <f>F88+F93+F102</f>
        <v>0</v>
      </c>
      <c r="G103" s="22">
        <f>G88+G93+G102</f>
        <v>0</v>
      </c>
      <c r="H103" s="22">
        <f>H88+H93+H102</f>
        <v>0</v>
      </c>
      <c r="I103" s="22">
        <f t="shared" ref="I103:O103" si="32">I88+I93+I102</f>
        <v>0</v>
      </c>
      <c r="J103" s="22">
        <f t="shared" si="32"/>
        <v>2921000</v>
      </c>
      <c r="K103" s="22">
        <f t="shared" si="32"/>
        <v>0</v>
      </c>
      <c r="L103" s="22">
        <f t="shared" si="32"/>
        <v>0</v>
      </c>
      <c r="M103" s="22">
        <f>M88+M93+M102</f>
        <v>0</v>
      </c>
      <c r="N103" s="22">
        <f t="shared" si="32"/>
        <v>0</v>
      </c>
      <c r="O103" s="22">
        <f t="shared" si="32"/>
        <v>0</v>
      </c>
    </row>
    <row r="104" spans="2:15" s="59" customFormat="1" ht="15.75">
      <c r="B104" s="58" t="s">
        <v>88</v>
      </c>
      <c r="C104" s="19">
        <f t="shared" si="31"/>
        <v>281806256.875</v>
      </c>
      <c r="D104" s="22">
        <f t="shared" ref="D104:O104" si="33">D21+D22+D56+D65+D79+D88+D93+D102</f>
        <v>203200</v>
      </c>
      <c r="E104" s="22">
        <f t="shared" si="33"/>
        <v>0</v>
      </c>
      <c r="F104" s="22">
        <f t="shared" si="33"/>
        <v>15240000</v>
      </c>
      <c r="G104" s="22">
        <f t="shared" si="33"/>
        <v>762000</v>
      </c>
      <c r="H104" s="22">
        <f t="shared" si="33"/>
        <v>37592000</v>
      </c>
      <c r="I104" s="22">
        <f t="shared" si="33"/>
        <v>14351000</v>
      </c>
      <c r="J104" s="22">
        <f t="shared" si="33"/>
        <v>99875462.5</v>
      </c>
      <c r="K104" s="22">
        <f t="shared" si="33"/>
        <v>8050000</v>
      </c>
      <c r="L104" s="22">
        <f t="shared" si="33"/>
        <v>74249719.375</v>
      </c>
      <c r="M104" s="22">
        <f t="shared" si="33"/>
        <v>31000275</v>
      </c>
      <c r="N104" s="22">
        <f t="shared" si="33"/>
        <v>482600</v>
      </c>
      <c r="O104" s="22">
        <f t="shared" si="33"/>
        <v>0</v>
      </c>
    </row>
    <row r="105" spans="2:15" ht="15.75">
      <c r="B105" s="5" t="s">
        <v>89</v>
      </c>
      <c r="C105" s="19">
        <f t="shared" si="31"/>
        <v>0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</row>
    <row r="106" spans="2:15" ht="31.5">
      <c r="B106" s="5" t="s">
        <v>90</v>
      </c>
      <c r="C106" s="19">
        <f t="shared" si="31"/>
        <v>0</v>
      </c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</row>
    <row r="107" spans="2:15" ht="15.75">
      <c r="B107" s="5" t="s">
        <v>91</v>
      </c>
      <c r="C107" s="19">
        <f t="shared" si="31"/>
        <v>0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</row>
    <row r="108" spans="2:15" ht="15.75">
      <c r="B108" s="5" t="s">
        <v>92</v>
      </c>
      <c r="C108" s="19">
        <f t="shared" si="31"/>
        <v>0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</row>
    <row r="109" spans="2:15" ht="15.75">
      <c r="B109" s="5" t="s">
        <v>93</v>
      </c>
      <c r="C109" s="19">
        <f t="shared" si="31"/>
        <v>0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</row>
    <row r="110" spans="2:15" ht="15.75">
      <c r="B110" s="5" t="s">
        <v>94</v>
      </c>
      <c r="C110" s="19">
        <f t="shared" si="31"/>
        <v>0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</row>
    <row r="111" spans="2:15" ht="15.75">
      <c r="B111" s="5" t="s">
        <v>95</v>
      </c>
      <c r="C111" s="19">
        <f t="shared" si="31"/>
        <v>0</v>
      </c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</row>
    <row r="112" spans="2:15" ht="15.75">
      <c r="B112" s="5" t="s">
        <v>96</v>
      </c>
      <c r="C112" s="19">
        <f t="shared" si="31"/>
        <v>0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</row>
    <row r="113" spans="2:15" ht="15.75">
      <c r="B113" s="5" t="s">
        <v>97</v>
      </c>
      <c r="C113" s="19">
        <f t="shared" si="31"/>
        <v>0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</row>
    <row r="114" spans="2:15" ht="15.75">
      <c r="B114" s="5" t="s">
        <v>98</v>
      </c>
      <c r="C114" s="19">
        <f t="shared" si="31"/>
        <v>0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</row>
    <row r="115" spans="2:15" ht="15.75">
      <c r="B115" s="5" t="s">
        <v>99</v>
      </c>
      <c r="C115" s="19">
        <f t="shared" si="31"/>
        <v>0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</row>
    <row r="116" spans="2:15" ht="15.75">
      <c r="B116" s="5" t="s">
        <v>100</v>
      </c>
      <c r="C116" s="19">
        <f t="shared" si="31"/>
        <v>0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</row>
    <row r="117" spans="2:15" ht="15.75">
      <c r="B117" s="5" t="s">
        <v>101</v>
      </c>
      <c r="C117" s="19">
        <f t="shared" si="31"/>
        <v>0</v>
      </c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</row>
    <row r="118" spans="2:15" ht="15.75">
      <c r="B118" s="5" t="s">
        <v>102</v>
      </c>
      <c r="C118" s="19">
        <f t="shared" si="31"/>
        <v>0</v>
      </c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</row>
    <row r="119" spans="2:15" ht="15.75">
      <c r="B119" s="5" t="s">
        <v>103</v>
      </c>
      <c r="C119" s="19">
        <f t="shared" si="31"/>
        <v>0</v>
      </c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</row>
    <row r="120" spans="2:15" ht="15.75">
      <c r="B120" s="41" t="s">
        <v>104</v>
      </c>
      <c r="C120" s="19">
        <f t="shared" si="31"/>
        <v>0</v>
      </c>
      <c r="D120" s="22">
        <f>SUM(D105:D119)</f>
        <v>0</v>
      </c>
      <c r="E120" s="22">
        <f t="shared" ref="E120:O120" si="34">SUM(E105:E119)</f>
        <v>0</v>
      </c>
      <c r="F120" s="22">
        <f t="shared" si="34"/>
        <v>0</v>
      </c>
      <c r="G120" s="22">
        <f t="shared" si="34"/>
        <v>0</v>
      </c>
      <c r="H120" s="22">
        <f t="shared" si="34"/>
        <v>0</v>
      </c>
      <c r="I120" s="22">
        <f t="shared" si="34"/>
        <v>0</v>
      </c>
      <c r="J120" s="22">
        <f t="shared" si="34"/>
        <v>0</v>
      </c>
      <c r="K120" s="22">
        <f t="shared" si="34"/>
        <v>0</v>
      </c>
      <c r="L120" s="22">
        <f t="shared" si="34"/>
        <v>0</v>
      </c>
      <c r="M120" s="22">
        <f t="shared" si="34"/>
        <v>0</v>
      </c>
      <c r="N120" s="22">
        <f t="shared" si="34"/>
        <v>0</v>
      </c>
      <c r="O120" s="22">
        <f t="shared" si="34"/>
        <v>0</v>
      </c>
    </row>
    <row r="121" spans="2:15" ht="15.75">
      <c r="B121" s="5" t="s">
        <v>105</v>
      </c>
      <c r="C121" s="19">
        <f t="shared" si="31"/>
        <v>0</v>
      </c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</row>
    <row r="122" spans="2:15" ht="15.75">
      <c r="B122" s="5" t="s">
        <v>106</v>
      </c>
      <c r="C122" s="19">
        <f t="shared" si="31"/>
        <v>0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2:15" ht="15.75">
      <c r="B123" s="5" t="s">
        <v>107</v>
      </c>
      <c r="C123" s="19">
        <f t="shared" si="31"/>
        <v>0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2:15" ht="15.75">
      <c r="B124" s="5" t="s">
        <v>108</v>
      </c>
      <c r="C124" s="19">
        <f t="shared" si="31"/>
        <v>0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</row>
    <row r="125" spans="2:15" ht="15.75">
      <c r="B125" s="41" t="s">
        <v>109</v>
      </c>
      <c r="C125" s="19">
        <f t="shared" si="31"/>
        <v>0</v>
      </c>
      <c r="D125" s="22">
        <f>D121+D122+D123+D124</f>
        <v>0</v>
      </c>
      <c r="E125" s="22">
        <f t="shared" ref="E125:O125" si="35">E121+E122+E123+E124</f>
        <v>0</v>
      </c>
      <c r="F125" s="22">
        <f t="shared" si="35"/>
        <v>0</v>
      </c>
      <c r="G125" s="22">
        <f t="shared" si="35"/>
        <v>0</v>
      </c>
      <c r="H125" s="22">
        <f t="shared" si="35"/>
        <v>0</v>
      </c>
      <c r="I125" s="22">
        <f t="shared" si="35"/>
        <v>0</v>
      </c>
      <c r="J125" s="22">
        <f t="shared" si="35"/>
        <v>0</v>
      </c>
      <c r="K125" s="22">
        <f t="shared" si="35"/>
        <v>0</v>
      </c>
      <c r="L125" s="22">
        <f t="shared" si="35"/>
        <v>0</v>
      </c>
      <c r="M125" s="22">
        <f>M121+M122+M123+M124</f>
        <v>0</v>
      </c>
      <c r="N125" s="22">
        <f t="shared" si="35"/>
        <v>0</v>
      </c>
      <c r="O125" s="22">
        <f t="shared" si="35"/>
        <v>0</v>
      </c>
    </row>
    <row r="126" spans="2:15" ht="31.5">
      <c r="B126" s="41" t="s">
        <v>110</v>
      </c>
      <c r="C126" s="19">
        <f t="shared" si="31"/>
        <v>0</v>
      </c>
      <c r="D126" s="22">
        <f>SUM(D121:D124)</f>
        <v>0</v>
      </c>
      <c r="E126" s="22">
        <f t="shared" ref="E126:O126" si="36">SUM(E121:E124)</f>
        <v>0</v>
      </c>
      <c r="F126" s="22">
        <f t="shared" si="36"/>
        <v>0</v>
      </c>
      <c r="G126" s="22">
        <f t="shared" si="36"/>
        <v>0</v>
      </c>
      <c r="H126" s="22">
        <f t="shared" si="36"/>
        <v>0</v>
      </c>
      <c r="I126" s="22">
        <f t="shared" si="36"/>
        <v>0</v>
      </c>
      <c r="J126" s="22">
        <f t="shared" si="36"/>
        <v>0</v>
      </c>
      <c r="K126" s="22">
        <f t="shared" si="36"/>
        <v>0</v>
      </c>
      <c r="L126" s="22">
        <f t="shared" si="36"/>
        <v>0</v>
      </c>
      <c r="M126" s="22">
        <f>SUM(M121:M124)</f>
        <v>0</v>
      </c>
      <c r="N126" s="22">
        <f t="shared" si="36"/>
        <v>0</v>
      </c>
      <c r="O126" s="22">
        <f t="shared" si="36"/>
        <v>0</v>
      </c>
    </row>
    <row r="127" spans="2:15" ht="15.75">
      <c r="B127" s="46" t="s">
        <v>111</v>
      </c>
      <c r="C127" s="19">
        <f t="shared" si="31"/>
        <v>0</v>
      </c>
      <c r="D127" s="22">
        <f>D120+D125+D126</f>
        <v>0</v>
      </c>
      <c r="E127" s="22">
        <f>E120+E125+E126</f>
        <v>0</v>
      </c>
      <c r="F127" s="22">
        <f>F120+F125+F126</f>
        <v>0</v>
      </c>
      <c r="G127" s="22">
        <f>G120+G125+G126</f>
        <v>0</v>
      </c>
      <c r="H127" s="22">
        <f>H120+H125+H126</f>
        <v>0</v>
      </c>
      <c r="I127" s="22">
        <f t="shared" ref="I127:O127" si="37">I120+I125+I126</f>
        <v>0</v>
      </c>
      <c r="J127" s="22">
        <f t="shared" si="37"/>
        <v>0</v>
      </c>
      <c r="K127" s="22">
        <f t="shared" si="37"/>
        <v>0</v>
      </c>
      <c r="L127" s="22">
        <f t="shared" si="37"/>
        <v>0</v>
      </c>
      <c r="M127" s="22">
        <f>M120+M125+M126</f>
        <v>0</v>
      </c>
      <c r="N127" s="22">
        <f t="shared" si="37"/>
        <v>0</v>
      </c>
      <c r="O127" s="22">
        <f t="shared" si="37"/>
        <v>0</v>
      </c>
    </row>
    <row r="128" spans="2:15" ht="20.25">
      <c r="B128" s="47" t="s">
        <v>112</v>
      </c>
      <c r="C128" s="19">
        <f t="shared" si="31"/>
        <v>281806256.875</v>
      </c>
      <c r="D128" s="26">
        <f>D104+D127</f>
        <v>203200</v>
      </c>
      <c r="E128" s="26">
        <f>E104+E127</f>
        <v>0</v>
      </c>
      <c r="F128" s="26">
        <f>F104+F127</f>
        <v>15240000</v>
      </c>
      <c r="G128" s="26">
        <f>G104+G127</f>
        <v>762000</v>
      </c>
      <c r="H128" s="26">
        <f>H104+H127</f>
        <v>37592000</v>
      </c>
      <c r="I128" s="26">
        <f t="shared" ref="I128:O128" si="38">I104+I127</f>
        <v>14351000</v>
      </c>
      <c r="J128" s="26">
        <f t="shared" si="38"/>
        <v>99875462.5</v>
      </c>
      <c r="K128" s="26">
        <f t="shared" si="38"/>
        <v>8050000</v>
      </c>
      <c r="L128" s="26">
        <f t="shared" si="38"/>
        <v>74249719.375</v>
      </c>
      <c r="M128" s="26">
        <f>M104+M127</f>
        <v>31000275</v>
      </c>
      <c r="N128" s="26">
        <f t="shared" si="38"/>
        <v>482600</v>
      </c>
      <c r="O128" s="26">
        <f t="shared" si="38"/>
        <v>0</v>
      </c>
    </row>
    <row r="129" spans="2:15" ht="15.75">
      <c r="B129" s="5" t="s">
        <v>113</v>
      </c>
      <c r="C129" s="19">
        <f t="shared" si="31"/>
        <v>0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</row>
    <row r="130" spans="2:15" ht="31.5">
      <c r="B130" s="5" t="s">
        <v>114</v>
      </c>
      <c r="C130" s="19">
        <f t="shared" si="31"/>
        <v>0</v>
      </c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</row>
    <row r="131" spans="2:15" ht="31.5">
      <c r="B131" s="5" t="s">
        <v>115</v>
      </c>
      <c r="C131" s="19">
        <f t="shared" si="31"/>
        <v>0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</row>
    <row r="132" spans="2:15" ht="15.75">
      <c r="B132" s="5" t="s">
        <v>116</v>
      </c>
      <c r="C132" s="19">
        <f t="shared" si="31"/>
        <v>0</v>
      </c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</row>
    <row r="133" spans="2:15" ht="15.75">
      <c r="B133" s="5" t="s">
        <v>117</v>
      </c>
      <c r="C133" s="19">
        <f t="shared" si="31"/>
        <v>0</v>
      </c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</row>
    <row r="134" spans="2:15" ht="15.75">
      <c r="B134" s="5" t="s">
        <v>118</v>
      </c>
      <c r="C134" s="19">
        <f t="shared" ref="C134:C205" si="39">SUM(D134:O134)</f>
        <v>0</v>
      </c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</row>
    <row r="135" spans="2:15" ht="15.75">
      <c r="B135" s="5" t="s">
        <v>119</v>
      </c>
      <c r="C135" s="19">
        <f t="shared" si="39"/>
        <v>0</v>
      </c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2:15" ht="15.75">
      <c r="B136" s="5" t="s">
        <v>120</v>
      </c>
      <c r="C136" s="19">
        <f t="shared" si="39"/>
        <v>0</v>
      </c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</row>
    <row r="137" spans="2:15" ht="31.5">
      <c r="B137" s="5" t="s">
        <v>121</v>
      </c>
      <c r="C137" s="19">
        <f t="shared" si="39"/>
        <v>0</v>
      </c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</row>
    <row r="138" spans="2:15" ht="31.5">
      <c r="B138" s="5" t="s">
        <v>122</v>
      </c>
      <c r="C138" s="19">
        <f t="shared" si="39"/>
        <v>0</v>
      </c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</row>
    <row r="139" spans="2:15" ht="31.5">
      <c r="B139" s="5" t="s">
        <v>123</v>
      </c>
      <c r="C139" s="19">
        <f t="shared" si="39"/>
        <v>0</v>
      </c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</row>
    <row r="140" spans="2:15" ht="31.5">
      <c r="B140" s="5" t="s">
        <v>124</v>
      </c>
      <c r="C140" s="19">
        <f t="shared" si="39"/>
        <v>0</v>
      </c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</row>
    <row r="141" spans="2:15" ht="15.75">
      <c r="B141" s="49" t="s">
        <v>125</v>
      </c>
      <c r="C141" s="19">
        <f t="shared" si="39"/>
        <v>0</v>
      </c>
      <c r="D141" s="22">
        <f>D135+D136+D137+D138+D139+D140</f>
        <v>0</v>
      </c>
      <c r="E141" s="22">
        <f>E135+E136+E137+E138+E139+E140</f>
        <v>0</v>
      </c>
      <c r="F141" s="22">
        <f>F135+F136+F137+F138+F139+F140</f>
        <v>0</v>
      </c>
      <c r="G141" s="22">
        <f>G135+G136+G137+G138+G139+G140</f>
        <v>0</v>
      </c>
      <c r="H141" s="22">
        <f>H135+H136+H137+H138+H139+H140</f>
        <v>0</v>
      </c>
      <c r="I141" s="22">
        <f t="shared" ref="I141:O141" si="40">I135+I136+I137+I138+I139+I140</f>
        <v>0</v>
      </c>
      <c r="J141" s="22">
        <f t="shared" si="40"/>
        <v>0</v>
      </c>
      <c r="K141" s="22">
        <f t="shared" si="40"/>
        <v>0</v>
      </c>
      <c r="L141" s="22">
        <f t="shared" si="40"/>
        <v>0</v>
      </c>
      <c r="M141" s="22">
        <f>M135+M136+M137+M138+M139+M140</f>
        <v>0</v>
      </c>
      <c r="N141" s="22">
        <f t="shared" si="40"/>
        <v>0</v>
      </c>
      <c r="O141" s="22">
        <f t="shared" si="40"/>
        <v>0</v>
      </c>
    </row>
    <row r="142" spans="2:15" ht="15.75">
      <c r="B142" s="5" t="s">
        <v>126</v>
      </c>
      <c r="C142" s="19">
        <f t="shared" si="39"/>
        <v>0</v>
      </c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</row>
    <row r="143" spans="2:15" ht="15.75">
      <c r="B143" s="5" t="s">
        <v>127</v>
      </c>
      <c r="C143" s="19">
        <f t="shared" si="39"/>
        <v>0</v>
      </c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</row>
    <row r="144" spans="2:15" ht="15.75">
      <c r="B144" s="5" t="s">
        <v>128</v>
      </c>
      <c r="C144" s="19">
        <f t="shared" si="39"/>
        <v>0</v>
      </c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</row>
    <row r="145" spans="2:15" ht="15.75">
      <c r="B145" s="5" t="s">
        <v>129</v>
      </c>
      <c r="C145" s="19">
        <f t="shared" si="39"/>
        <v>0</v>
      </c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</row>
    <row r="146" spans="2:15" ht="15.75">
      <c r="B146" s="5" t="s">
        <v>130</v>
      </c>
      <c r="C146" s="19">
        <f t="shared" si="39"/>
        <v>0</v>
      </c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</row>
    <row r="147" spans="2:15" ht="15.75">
      <c r="B147" s="5" t="s">
        <v>131</v>
      </c>
      <c r="C147" s="19">
        <f t="shared" si="39"/>
        <v>0</v>
      </c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</row>
    <row r="148" spans="2:15" ht="15.75">
      <c r="B148" s="5" t="s">
        <v>132</v>
      </c>
      <c r="C148" s="19">
        <f t="shared" si="39"/>
        <v>0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</row>
    <row r="149" spans="2:15" ht="15.75">
      <c r="B149" s="5" t="s">
        <v>133</v>
      </c>
      <c r="C149" s="19">
        <f t="shared" si="39"/>
        <v>0</v>
      </c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</row>
    <row r="150" spans="2:15" ht="15.75">
      <c r="B150" s="5" t="s">
        <v>134</v>
      </c>
      <c r="C150" s="19">
        <f t="shared" si="39"/>
        <v>0</v>
      </c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</row>
    <row r="151" spans="2:15" ht="15.75">
      <c r="B151" s="5" t="s">
        <v>135</v>
      </c>
      <c r="C151" s="19">
        <f t="shared" si="39"/>
        <v>0</v>
      </c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</row>
    <row r="152" spans="2:15" ht="15.75">
      <c r="B152" s="5" t="s">
        <v>136</v>
      </c>
      <c r="C152" s="19">
        <f t="shared" si="39"/>
        <v>0</v>
      </c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</row>
    <row r="153" spans="2:15" ht="15.75">
      <c r="B153" s="5" t="s">
        <v>137</v>
      </c>
      <c r="C153" s="19">
        <f t="shared" si="39"/>
        <v>0</v>
      </c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</row>
    <row r="154" spans="2:15" ht="15.75">
      <c r="B154" s="5" t="s">
        <v>138</v>
      </c>
      <c r="C154" s="19">
        <f t="shared" si="39"/>
        <v>0</v>
      </c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</row>
    <row r="155" spans="2:15" ht="15.75">
      <c r="B155" s="49" t="s">
        <v>139</v>
      </c>
      <c r="C155" s="19">
        <f t="shared" si="39"/>
        <v>0</v>
      </c>
      <c r="D155" s="22">
        <f>D144+D145+D146+D147+D153+D154</f>
        <v>0</v>
      </c>
      <c r="E155" s="22">
        <f>E144+E145+E146+E147+E153+E154</f>
        <v>0</v>
      </c>
      <c r="F155" s="22">
        <f>F144+F145+F146+F147+F153+F154</f>
        <v>0</v>
      </c>
      <c r="G155" s="22">
        <f>G144+G145+G146+G147+G153+G154</f>
        <v>0</v>
      </c>
      <c r="H155" s="22">
        <f>H144+H145+H146+H147+H153+H154</f>
        <v>0</v>
      </c>
      <c r="I155" s="22">
        <f t="shared" ref="I155:O155" si="41">I144+I145+I146+I147+I153+I154</f>
        <v>0</v>
      </c>
      <c r="J155" s="22">
        <f t="shared" si="41"/>
        <v>0</v>
      </c>
      <c r="K155" s="22">
        <f t="shared" si="41"/>
        <v>0</v>
      </c>
      <c r="L155" s="22">
        <f t="shared" si="41"/>
        <v>0</v>
      </c>
      <c r="M155" s="22">
        <f>M144+M145+M146+M147+M153+M154</f>
        <v>0</v>
      </c>
      <c r="N155" s="22">
        <f t="shared" si="41"/>
        <v>0</v>
      </c>
      <c r="O155" s="22">
        <f t="shared" si="41"/>
        <v>0</v>
      </c>
    </row>
    <row r="156" spans="2:15" ht="15.75">
      <c r="B156" s="5" t="s">
        <v>227</v>
      </c>
      <c r="C156" s="19">
        <f t="shared" si="39"/>
        <v>0</v>
      </c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</row>
    <row r="157" spans="2:15" s="54" customFormat="1" ht="15.75">
      <c r="B157" s="41" t="s">
        <v>241</v>
      </c>
      <c r="C157" s="19">
        <f t="shared" si="39"/>
        <v>159000000</v>
      </c>
      <c r="D157" s="22">
        <f>SUM(D158:D164)</f>
        <v>0</v>
      </c>
      <c r="E157" s="22">
        <f t="shared" ref="E157:O157" si="42">SUM(E158:E164)</f>
        <v>0</v>
      </c>
      <c r="F157" s="22">
        <f t="shared" si="42"/>
        <v>0</v>
      </c>
      <c r="G157" s="22">
        <f t="shared" si="42"/>
        <v>0</v>
      </c>
      <c r="H157" s="22">
        <f t="shared" si="42"/>
        <v>0</v>
      </c>
      <c r="I157" s="22">
        <f t="shared" si="42"/>
        <v>0</v>
      </c>
      <c r="J157" s="22">
        <f t="shared" si="42"/>
        <v>0</v>
      </c>
      <c r="K157" s="22">
        <f t="shared" si="42"/>
        <v>5000000</v>
      </c>
      <c r="L157" s="22">
        <f t="shared" si="42"/>
        <v>101000000</v>
      </c>
      <c r="M157" s="22">
        <f t="shared" si="42"/>
        <v>53000000</v>
      </c>
      <c r="N157" s="22">
        <f t="shared" si="42"/>
        <v>0</v>
      </c>
      <c r="O157" s="22">
        <f t="shared" si="42"/>
        <v>0</v>
      </c>
    </row>
    <row r="158" spans="2:15" ht="15.75">
      <c r="B158" s="5" t="s">
        <v>242</v>
      </c>
      <c r="C158" s="19">
        <f t="shared" ref="C158:C163" si="43">SUM(D158:O158)</f>
        <v>0</v>
      </c>
      <c r="D158" s="23"/>
      <c r="E158" s="23"/>
      <c r="F158" s="23"/>
      <c r="G158" s="23"/>
      <c r="H158" s="23"/>
      <c r="I158" s="23"/>
      <c r="J158" s="23"/>
      <c r="K158" s="23"/>
      <c r="L158" s="23"/>
      <c r="M158" s="23">
        <v>0</v>
      </c>
      <c r="N158" s="23"/>
      <c r="O158" s="23"/>
    </row>
    <row r="159" spans="2:15" ht="15.75">
      <c r="B159" s="5" t="s">
        <v>243</v>
      </c>
      <c r="C159" s="19">
        <f t="shared" si="43"/>
        <v>40000000</v>
      </c>
      <c r="D159" s="23"/>
      <c r="E159" s="23"/>
      <c r="F159" s="23"/>
      <c r="G159" s="23"/>
      <c r="H159" s="23"/>
      <c r="I159" s="23"/>
      <c r="J159" s="23"/>
      <c r="K159" s="23"/>
      <c r="L159" s="23"/>
      <c r="M159" s="23">
        <f>300000*140/1.05</f>
        <v>40000000</v>
      </c>
      <c r="N159" s="23"/>
      <c r="O159" s="23"/>
    </row>
    <row r="160" spans="2:15" ht="15.75">
      <c r="B160" s="5" t="s">
        <v>244</v>
      </c>
      <c r="C160" s="19">
        <f t="shared" si="43"/>
        <v>4000000</v>
      </c>
      <c r="D160" s="23"/>
      <c r="E160" s="23"/>
      <c r="F160" s="23"/>
      <c r="G160" s="23"/>
      <c r="H160" s="23"/>
      <c r="I160" s="23"/>
      <c r="J160" s="23"/>
      <c r="K160" s="23"/>
      <c r="L160" s="23"/>
      <c r="M160" s="23">
        <v>4000000</v>
      </c>
      <c r="N160" s="23"/>
      <c r="O160" s="23"/>
    </row>
    <row r="161" spans="2:15" ht="15.75">
      <c r="B161" s="5" t="s">
        <v>245</v>
      </c>
      <c r="C161" s="19">
        <f t="shared" si="43"/>
        <v>9000000</v>
      </c>
      <c r="D161" s="23"/>
      <c r="E161" s="23"/>
      <c r="F161" s="23"/>
      <c r="G161" s="23"/>
      <c r="H161" s="23"/>
      <c r="I161" s="23"/>
      <c r="J161" s="23"/>
      <c r="K161" s="23"/>
      <c r="L161" s="23"/>
      <c r="M161" s="23">
        <v>9000000</v>
      </c>
      <c r="N161" s="23"/>
      <c r="O161" s="23"/>
    </row>
    <row r="162" spans="2:15" ht="15.75">
      <c r="B162" s="5" t="s">
        <v>246</v>
      </c>
      <c r="C162" s="19">
        <f t="shared" si="43"/>
        <v>94000000</v>
      </c>
      <c r="D162" s="23"/>
      <c r="E162" s="23"/>
      <c r="F162" s="23"/>
      <c r="G162" s="23"/>
      <c r="H162" s="23"/>
      <c r="I162" s="23"/>
      <c r="J162" s="23"/>
      <c r="K162" s="23"/>
      <c r="L162" s="23">
        <v>94000000</v>
      </c>
      <c r="M162" s="23"/>
      <c r="N162" s="23"/>
      <c r="O162" s="23"/>
    </row>
    <row r="163" spans="2:15" ht="15.75">
      <c r="B163" s="5" t="s">
        <v>247</v>
      </c>
      <c r="C163" s="19">
        <f t="shared" si="43"/>
        <v>7000000</v>
      </c>
      <c r="D163" s="23"/>
      <c r="E163" s="23"/>
      <c r="F163" s="23"/>
      <c r="G163" s="23"/>
      <c r="H163" s="23"/>
      <c r="I163" s="23"/>
      <c r="J163" s="23"/>
      <c r="K163" s="23"/>
      <c r="L163" s="23">
        <v>7000000</v>
      </c>
      <c r="M163" s="23"/>
      <c r="N163" s="23"/>
      <c r="O163" s="23"/>
    </row>
    <row r="164" spans="2:15" ht="15.75">
      <c r="B164" s="5" t="s">
        <v>248</v>
      </c>
      <c r="C164" s="19">
        <f t="shared" ref="C164" si="44">SUM(D164:O164)</f>
        <v>5000000</v>
      </c>
      <c r="D164" s="23"/>
      <c r="E164" s="23"/>
      <c r="F164" s="23"/>
      <c r="G164" s="23"/>
      <c r="H164" s="23"/>
      <c r="I164" s="23"/>
      <c r="J164" s="23"/>
      <c r="K164" s="23">
        <v>5000000</v>
      </c>
      <c r="L164" s="23"/>
      <c r="M164" s="23"/>
      <c r="N164" s="23"/>
      <c r="O164" s="23"/>
    </row>
    <row r="165" spans="2:15" ht="31.5">
      <c r="B165" s="5" t="s">
        <v>249</v>
      </c>
      <c r="C165" s="19">
        <f t="shared" si="39"/>
        <v>1500000</v>
      </c>
      <c r="D165" s="23"/>
      <c r="E165" s="23"/>
      <c r="F165" s="23"/>
      <c r="G165" s="23"/>
      <c r="H165" s="23"/>
      <c r="I165" s="23"/>
      <c r="J165" s="23"/>
      <c r="K165" s="23"/>
      <c r="L165" s="23"/>
      <c r="M165" s="23">
        <v>1500000</v>
      </c>
      <c r="N165" s="23"/>
      <c r="O165" s="23"/>
    </row>
    <row r="166" spans="2:15" ht="15.75">
      <c r="B166" s="5" t="s">
        <v>143</v>
      </c>
      <c r="C166" s="19">
        <f t="shared" si="39"/>
        <v>0</v>
      </c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</row>
    <row r="167" spans="2:15" ht="15.75">
      <c r="B167" s="5" t="s">
        <v>226</v>
      </c>
      <c r="C167" s="19">
        <f t="shared" si="39"/>
        <v>0</v>
      </c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</row>
    <row r="168" spans="2:15" ht="15.75">
      <c r="B168" s="5" t="s">
        <v>145</v>
      </c>
      <c r="C168" s="19">
        <f t="shared" si="39"/>
        <v>31688500</v>
      </c>
      <c r="D168" s="23">
        <f t="shared" ref="D168" si="45">(D156+D157+D165+D166+D167+D173)*0.27</f>
        <v>0</v>
      </c>
      <c r="E168" s="23">
        <f t="shared" ref="E168" si="46">(E156+E157+E165+E166+E167+E173)*0.27</f>
        <v>0</v>
      </c>
      <c r="F168" s="23">
        <f t="shared" ref="F168" si="47">(F156+F157+F165+F166+F167+F173)*0.27</f>
        <v>0</v>
      </c>
      <c r="G168" s="23">
        <f t="shared" ref="G168" si="48">(G156+G157+G165+G166+G167+G173)*0.27</f>
        <v>0</v>
      </c>
      <c r="H168" s="23">
        <f t="shared" ref="H168" si="49">(H156+H157+H165+H166+H167+H173)*0.27</f>
        <v>0</v>
      </c>
      <c r="I168" s="23">
        <f t="shared" ref="I168" si="50">(I156+I157+I165+I166+I167+I173)*0.27</f>
        <v>0</v>
      </c>
      <c r="J168" s="23">
        <f t="shared" ref="J168" si="51">(J156+J157+J165+J166+J167+J173)*0.27</f>
        <v>0</v>
      </c>
      <c r="K168" s="23">
        <f>(K156+K157+K165+K166+K167+K173)*0.27</f>
        <v>1350000</v>
      </c>
      <c r="L168" s="23">
        <f t="shared" ref="L168" si="52">(L156+L157+L165+L166+L167+L173)*0.27</f>
        <v>27270000</v>
      </c>
      <c r="M168" s="23">
        <f>(M158+M165)*0.27+(M159+M160+M161)*0.05</f>
        <v>3055000</v>
      </c>
      <c r="N168" s="23">
        <f t="shared" ref="N168" si="53">(N156+N157+N165+N166+N167+N173)*0.27</f>
        <v>13500</v>
      </c>
      <c r="O168" s="23">
        <f t="shared" ref="O168" si="54">(O156+O157+O165+O166+O167+O173)*0.27</f>
        <v>0</v>
      </c>
    </row>
    <row r="169" spans="2:15" ht="15.75">
      <c r="B169" s="5" t="s">
        <v>146</v>
      </c>
      <c r="C169" s="19">
        <f t="shared" si="39"/>
        <v>0</v>
      </c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</row>
    <row r="170" spans="2:15" ht="15.75">
      <c r="B170" s="5" t="s">
        <v>147</v>
      </c>
      <c r="C170" s="19">
        <f t="shared" si="39"/>
        <v>0</v>
      </c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</row>
    <row r="171" spans="2:15" ht="15.75">
      <c r="B171" s="5" t="s">
        <v>148</v>
      </c>
      <c r="C171" s="19">
        <f t="shared" si="39"/>
        <v>0</v>
      </c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</row>
    <row r="172" spans="2:15" ht="15.75">
      <c r="B172" s="4" t="s">
        <v>312</v>
      </c>
      <c r="C172" s="19">
        <f t="shared" ref="C172" si="55">SUM(D172:O172)</f>
        <v>0</v>
      </c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</row>
    <row r="173" spans="2:15" ht="15.75">
      <c r="B173" s="4" t="s">
        <v>313</v>
      </c>
      <c r="C173" s="19">
        <f t="shared" si="39"/>
        <v>50000</v>
      </c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>
        <v>50000</v>
      </c>
      <c r="O173" s="23"/>
    </row>
    <row r="174" spans="2:15" ht="15.75">
      <c r="B174" s="49" t="s">
        <v>149</v>
      </c>
      <c r="C174" s="19">
        <f t="shared" si="39"/>
        <v>192238500</v>
      </c>
      <c r="D174" s="22">
        <f>SUM(D158:D173)+D156</f>
        <v>0</v>
      </c>
      <c r="E174" s="22">
        <f t="shared" ref="E174:O174" si="56">SUM(E158:E173)+E156</f>
        <v>0</v>
      </c>
      <c r="F174" s="22">
        <f t="shared" si="56"/>
        <v>0</v>
      </c>
      <c r="G174" s="22">
        <f t="shared" si="56"/>
        <v>0</v>
      </c>
      <c r="H174" s="22">
        <f t="shared" si="56"/>
        <v>0</v>
      </c>
      <c r="I174" s="22">
        <f t="shared" si="56"/>
        <v>0</v>
      </c>
      <c r="J174" s="22">
        <f t="shared" si="56"/>
        <v>0</v>
      </c>
      <c r="K174" s="22">
        <f t="shared" si="56"/>
        <v>6350000</v>
      </c>
      <c r="L174" s="22">
        <f t="shared" si="56"/>
        <v>128270000</v>
      </c>
      <c r="M174" s="22">
        <f t="shared" si="56"/>
        <v>57555000</v>
      </c>
      <c r="N174" s="22">
        <f t="shared" si="56"/>
        <v>63500</v>
      </c>
      <c r="O174" s="22">
        <f t="shared" si="56"/>
        <v>0</v>
      </c>
    </row>
    <row r="175" spans="2:15" ht="31.5">
      <c r="B175" s="5" t="s">
        <v>150</v>
      </c>
      <c r="C175" s="19">
        <f t="shared" si="39"/>
        <v>0</v>
      </c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</row>
    <row r="176" spans="2:15" ht="31.5">
      <c r="B176" s="5" t="s">
        <v>151</v>
      </c>
      <c r="C176" s="19">
        <f t="shared" si="39"/>
        <v>0</v>
      </c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</row>
    <row r="177" spans="2:15" ht="15.75">
      <c r="B177" s="5" t="s">
        <v>152</v>
      </c>
      <c r="C177" s="19">
        <f t="shared" si="39"/>
        <v>0</v>
      </c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</row>
    <row r="178" spans="2:15" ht="15.75">
      <c r="B178" s="49" t="s">
        <v>153</v>
      </c>
      <c r="C178" s="19">
        <f t="shared" si="39"/>
        <v>0</v>
      </c>
      <c r="D178" s="22">
        <f>SUM(D175:D177)</f>
        <v>0</v>
      </c>
      <c r="E178" s="22">
        <f>SUM(E175:E177)</f>
        <v>0</v>
      </c>
      <c r="F178" s="22">
        <f>SUM(F175:F177)</f>
        <v>0</v>
      </c>
      <c r="G178" s="22">
        <f>SUM(G175:G177)</f>
        <v>0</v>
      </c>
      <c r="H178" s="22">
        <f>SUM(H175:H177)</f>
        <v>0</v>
      </c>
      <c r="I178" s="22">
        <f t="shared" ref="I178:O178" si="57">SUM(I175:I177)</f>
        <v>0</v>
      </c>
      <c r="J178" s="22">
        <f t="shared" si="57"/>
        <v>0</v>
      </c>
      <c r="K178" s="22">
        <f t="shared" si="57"/>
        <v>0</v>
      </c>
      <c r="L178" s="22">
        <f t="shared" si="57"/>
        <v>0</v>
      </c>
      <c r="M178" s="22">
        <f>SUM(M175:M177)</f>
        <v>0</v>
      </c>
      <c r="N178" s="22">
        <f t="shared" si="57"/>
        <v>0</v>
      </c>
      <c r="O178" s="22">
        <f t="shared" si="57"/>
        <v>0</v>
      </c>
    </row>
    <row r="179" spans="2:15" ht="31.5">
      <c r="B179" s="50" t="s">
        <v>154</v>
      </c>
      <c r="C179" s="19">
        <f t="shared" si="39"/>
        <v>192238500</v>
      </c>
      <c r="D179" s="22">
        <f>D141+D155+D174+D178</f>
        <v>0</v>
      </c>
      <c r="E179" s="22">
        <f>E141+E155+E174+E178</f>
        <v>0</v>
      </c>
      <c r="F179" s="22">
        <f>F141+F155+F174+F178</f>
        <v>0</v>
      </c>
      <c r="G179" s="22">
        <f>G141+G155+G174+G178</f>
        <v>0</v>
      </c>
      <c r="H179" s="22">
        <f>H141+H155+H174+H178</f>
        <v>0</v>
      </c>
      <c r="I179" s="22">
        <f t="shared" ref="I179:O179" si="58">I141+I155+I174+I178</f>
        <v>0</v>
      </c>
      <c r="J179" s="22">
        <f t="shared" si="58"/>
        <v>0</v>
      </c>
      <c r="K179" s="22">
        <f t="shared" si="58"/>
        <v>6350000</v>
      </c>
      <c r="L179" s="22">
        <f t="shared" si="58"/>
        <v>128270000</v>
      </c>
      <c r="M179" s="22">
        <f>M141+M155+M174+M178</f>
        <v>57555000</v>
      </c>
      <c r="N179" s="22">
        <f t="shared" si="58"/>
        <v>63500</v>
      </c>
      <c r="O179" s="22">
        <f t="shared" si="58"/>
        <v>0</v>
      </c>
    </row>
    <row r="180" spans="2:15" ht="15.75">
      <c r="B180" s="5" t="s">
        <v>155</v>
      </c>
      <c r="C180" s="19">
        <f t="shared" si="39"/>
        <v>0</v>
      </c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</row>
    <row r="181" spans="2:15" ht="31.5">
      <c r="B181" s="5" t="s">
        <v>156</v>
      </c>
      <c r="C181" s="19">
        <f t="shared" si="39"/>
        <v>0</v>
      </c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</row>
    <row r="182" spans="2:15" ht="31.5">
      <c r="B182" s="5" t="s">
        <v>157</v>
      </c>
      <c r="C182" s="19">
        <f t="shared" si="39"/>
        <v>0</v>
      </c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</row>
    <row r="183" spans="2:15" ht="31.5">
      <c r="B183" s="5" t="s">
        <v>158</v>
      </c>
      <c r="C183" s="19">
        <f t="shared" si="39"/>
        <v>0</v>
      </c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</row>
    <row r="184" spans="2:15" ht="31.5">
      <c r="B184" s="5" t="s">
        <v>159</v>
      </c>
      <c r="C184" s="19">
        <f t="shared" si="39"/>
        <v>0</v>
      </c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</row>
    <row r="185" spans="2:15" ht="15.75">
      <c r="B185" s="49" t="s">
        <v>160</v>
      </c>
      <c r="C185" s="19">
        <f t="shared" si="39"/>
        <v>0</v>
      </c>
      <c r="D185" s="22">
        <f>SUM(D180:D184)</f>
        <v>0</v>
      </c>
      <c r="E185" s="22">
        <f>SUM(E180:E184)</f>
        <v>0</v>
      </c>
      <c r="F185" s="22">
        <f>SUM(F180:F184)</f>
        <v>0</v>
      </c>
      <c r="G185" s="22">
        <f>SUM(G180:G184)</f>
        <v>0</v>
      </c>
      <c r="H185" s="22">
        <f>SUM(H180:H184)</f>
        <v>0</v>
      </c>
      <c r="I185" s="22">
        <f t="shared" ref="I185:O185" si="59">SUM(I180:I184)</f>
        <v>0</v>
      </c>
      <c r="J185" s="22">
        <f t="shared" si="59"/>
        <v>0</v>
      </c>
      <c r="K185" s="22">
        <f t="shared" si="59"/>
        <v>0</v>
      </c>
      <c r="L185" s="22">
        <f t="shared" si="59"/>
        <v>0</v>
      </c>
      <c r="M185" s="22">
        <f>SUM(M180:M184)</f>
        <v>0</v>
      </c>
      <c r="N185" s="22">
        <f t="shared" si="59"/>
        <v>0</v>
      </c>
      <c r="O185" s="22">
        <f t="shared" si="59"/>
        <v>0</v>
      </c>
    </row>
    <row r="186" spans="2:15" ht="15.75">
      <c r="B186" s="5" t="s">
        <v>161</v>
      </c>
      <c r="C186" s="19">
        <f t="shared" si="39"/>
        <v>0</v>
      </c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</row>
    <row r="187" spans="2:15" ht="15.75">
      <c r="B187" s="5" t="s">
        <v>162</v>
      </c>
      <c r="C187" s="19">
        <f t="shared" si="39"/>
        <v>0</v>
      </c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</row>
    <row r="188" spans="2:15" ht="15.75">
      <c r="B188" s="5" t="s">
        <v>163</v>
      </c>
      <c r="C188" s="19">
        <f t="shared" si="39"/>
        <v>0</v>
      </c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</row>
    <row r="189" spans="2:15" ht="15.75">
      <c r="B189" s="5" t="s">
        <v>164</v>
      </c>
      <c r="C189" s="19">
        <f t="shared" si="39"/>
        <v>0</v>
      </c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</row>
    <row r="190" spans="2:15" ht="15.75">
      <c r="B190" s="5" t="s">
        <v>165</v>
      </c>
      <c r="C190" s="19">
        <f t="shared" si="39"/>
        <v>0</v>
      </c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</row>
    <row r="191" spans="2:15" ht="15.75">
      <c r="B191" s="49" t="s">
        <v>166</v>
      </c>
      <c r="C191" s="19">
        <f t="shared" si="39"/>
        <v>0</v>
      </c>
      <c r="D191" s="22">
        <f>SUM(D186:D190)</f>
        <v>0</v>
      </c>
      <c r="E191" s="22">
        <f>SUM(E186:E190)</f>
        <v>0</v>
      </c>
      <c r="F191" s="22">
        <f>SUM(F186:F190)</f>
        <v>0</v>
      </c>
      <c r="G191" s="22">
        <f>SUM(G186:G190)</f>
        <v>0</v>
      </c>
      <c r="H191" s="22">
        <f>SUM(H186:H190)</f>
        <v>0</v>
      </c>
      <c r="I191" s="22">
        <f t="shared" ref="I191:O191" si="60">SUM(I186:I190)</f>
        <v>0</v>
      </c>
      <c r="J191" s="22">
        <f t="shared" si="60"/>
        <v>0</v>
      </c>
      <c r="K191" s="22">
        <f t="shared" si="60"/>
        <v>0</v>
      </c>
      <c r="L191" s="22">
        <f t="shared" si="60"/>
        <v>0</v>
      </c>
      <c r="M191" s="22">
        <f>SUM(M186:M190)</f>
        <v>0</v>
      </c>
      <c r="N191" s="22">
        <f t="shared" si="60"/>
        <v>0</v>
      </c>
      <c r="O191" s="22">
        <f t="shared" si="60"/>
        <v>0</v>
      </c>
    </row>
    <row r="192" spans="2:15" ht="31.5">
      <c r="B192" s="5" t="s">
        <v>167</v>
      </c>
      <c r="C192" s="19">
        <f t="shared" si="39"/>
        <v>0</v>
      </c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</row>
    <row r="193" spans="2:15" ht="31.5">
      <c r="B193" s="5" t="s">
        <v>168</v>
      </c>
      <c r="C193" s="19">
        <f t="shared" si="39"/>
        <v>0</v>
      </c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</row>
    <row r="194" spans="2:15" ht="15.75">
      <c r="B194" s="5" t="s">
        <v>169</v>
      </c>
      <c r="C194" s="19">
        <f t="shared" si="39"/>
        <v>0</v>
      </c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</row>
    <row r="195" spans="2:15" ht="15.75">
      <c r="B195" s="49" t="s">
        <v>170</v>
      </c>
      <c r="C195" s="19">
        <f t="shared" si="39"/>
        <v>0</v>
      </c>
      <c r="D195" s="22">
        <f>SUM(D192:D194)</f>
        <v>0</v>
      </c>
      <c r="E195" s="22">
        <f>SUM(E192:E194)</f>
        <v>0</v>
      </c>
      <c r="F195" s="22">
        <f>SUM(F192:F194)</f>
        <v>0</v>
      </c>
      <c r="G195" s="22">
        <f>SUM(G192:G194)</f>
        <v>0</v>
      </c>
      <c r="H195" s="22">
        <f>SUM(H192:H194)</f>
        <v>0</v>
      </c>
      <c r="I195" s="22">
        <f t="shared" ref="I195:O195" si="61">SUM(I192:I194)</f>
        <v>0</v>
      </c>
      <c r="J195" s="22">
        <f t="shared" si="61"/>
        <v>0</v>
      </c>
      <c r="K195" s="22">
        <f t="shared" si="61"/>
        <v>0</v>
      </c>
      <c r="L195" s="22">
        <f t="shared" si="61"/>
        <v>0</v>
      </c>
      <c r="M195" s="22">
        <f>SUM(M192:M194)</f>
        <v>0</v>
      </c>
      <c r="N195" s="22">
        <f t="shared" si="61"/>
        <v>0</v>
      </c>
      <c r="O195" s="22">
        <f t="shared" si="61"/>
        <v>0</v>
      </c>
    </row>
    <row r="196" spans="2:15" ht="31.5">
      <c r="B196" s="50" t="s">
        <v>171</v>
      </c>
      <c r="C196" s="19">
        <f t="shared" si="39"/>
        <v>0</v>
      </c>
      <c r="D196" s="27">
        <f>D185+D191+D195</f>
        <v>0</v>
      </c>
      <c r="E196" s="27">
        <f>E185+E191+E195</f>
        <v>0</v>
      </c>
      <c r="F196" s="27">
        <f>F185+F191+F195</f>
        <v>0</v>
      </c>
      <c r="G196" s="27">
        <f>G185+G191+G195</f>
        <v>0</v>
      </c>
      <c r="H196" s="27">
        <f>H185+H191+H195</f>
        <v>0</v>
      </c>
      <c r="I196" s="27">
        <f t="shared" ref="I196:O196" si="62">I185+I191+I195</f>
        <v>0</v>
      </c>
      <c r="J196" s="27">
        <f t="shared" si="62"/>
        <v>0</v>
      </c>
      <c r="K196" s="27">
        <f t="shared" si="62"/>
        <v>0</v>
      </c>
      <c r="L196" s="27">
        <f t="shared" si="62"/>
        <v>0</v>
      </c>
      <c r="M196" s="27">
        <f>M185+M191+M195</f>
        <v>0</v>
      </c>
      <c r="N196" s="27">
        <f t="shared" si="62"/>
        <v>0</v>
      </c>
      <c r="O196" s="27">
        <f t="shared" si="62"/>
        <v>0</v>
      </c>
    </row>
    <row r="197" spans="2:15" ht="18.75">
      <c r="B197" s="51" t="s">
        <v>172</v>
      </c>
      <c r="C197" s="19">
        <f t="shared" si="39"/>
        <v>192238500</v>
      </c>
      <c r="D197" s="25">
        <f>D179+D196</f>
        <v>0</v>
      </c>
      <c r="E197" s="25">
        <f>E179+E196</f>
        <v>0</v>
      </c>
      <c r="F197" s="25">
        <f>F179+F196</f>
        <v>0</v>
      </c>
      <c r="G197" s="25">
        <f>G179+G196</f>
        <v>0</v>
      </c>
      <c r="H197" s="25">
        <f>H179+H196</f>
        <v>0</v>
      </c>
      <c r="I197" s="25">
        <f t="shared" ref="I197:O197" si="63">I179+I196</f>
        <v>0</v>
      </c>
      <c r="J197" s="25">
        <f t="shared" si="63"/>
        <v>0</v>
      </c>
      <c r="K197" s="25">
        <f t="shared" si="63"/>
        <v>6350000</v>
      </c>
      <c r="L197" s="25">
        <f t="shared" si="63"/>
        <v>128270000</v>
      </c>
      <c r="M197" s="25">
        <f>M179+M196</f>
        <v>57555000</v>
      </c>
      <c r="N197" s="25">
        <f t="shared" si="63"/>
        <v>63500</v>
      </c>
      <c r="O197" s="25">
        <f t="shared" si="63"/>
        <v>0</v>
      </c>
    </row>
    <row r="198" spans="2:15" ht="18.75">
      <c r="B198" s="52" t="s">
        <v>173</v>
      </c>
      <c r="C198" s="19">
        <f t="shared" si="39"/>
        <v>-86646756.875</v>
      </c>
      <c r="D198" s="38">
        <f t="shared" ref="D198:O198" si="64">D179-D80</f>
        <v>-203200</v>
      </c>
      <c r="E198" s="38">
        <f t="shared" si="64"/>
        <v>0</v>
      </c>
      <c r="F198" s="38">
        <f t="shared" si="64"/>
        <v>-15240000</v>
      </c>
      <c r="G198" s="38">
        <f t="shared" si="64"/>
        <v>-762000</v>
      </c>
      <c r="H198" s="38">
        <f t="shared" si="64"/>
        <v>-37592000</v>
      </c>
      <c r="I198" s="38">
        <f t="shared" si="64"/>
        <v>-14351000</v>
      </c>
      <c r="J198" s="38">
        <f t="shared" si="64"/>
        <v>-96954462.5</v>
      </c>
      <c r="K198" s="38">
        <f t="shared" si="64"/>
        <v>-1700000</v>
      </c>
      <c r="L198" s="38">
        <f t="shared" si="64"/>
        <v>54020280.625</v>
      </c>
      <c r="M198" s="38">
        <f t="shared" si="64"/>
        <v>26554725</v>
      </c>
      <c r="N198" s="38">
        <f t="shared" si="64"/>
        <v>-419100</v>
      </c>
      <c r="O198" s="38">
        <f t="shared" si="64"/>
        <v>0</v>
      </c>
    </row>
    <row r="199" spans="2:15" ht="18.75">
      <c r="B199" s="52" t="s">
        <v>174</v>
      </c>
      <c r="C199" s="19">
        <f t="shared" si="39"/>
        <v>-2921000</v>
      </c>
      <c r="D199" s="38">
        <f t="shared" ref="D199:O199" si="65">D196-D103</f>
        <v>0</v>
      </c>
      <c r="E199" s="38">
        <f t="shared" si="65"/>
        <v>0</v>
      </c>
      <c r="F199" s="38">
        <f t="shared" si="65"/>
        <v>0</v>
      </c>
      <c r="G199" s="38">
        <f t="shared" si="65"/>
        <v>0</v>
      </c>
      <c r="H199" s="38">
        <f t="shared" si="65"/>
        <v>0</v>
      </c>
      <c r="I199" s="38">
        <f t="shared" si="65"/>
        <v>0</v>
      </c>
      <c r="J199" s="38">
        <f t="shared" si="65"/>
        <v>-2921000</v>
      </c>
      <c r="K199" s="38">
        <f t="shared" si="65"/>
        <v>0</v>
      </c>
      <c r="L199" s="38">
        <f t="shared" si="65"/>
        <v>0</v>
      </c>
      <c r="M199" s="38">
        <f t="shared" si="65"/>
        <v>0</v>
      </c>
      <c r="N199" s="38">
        <f t="shared" si="65"/>
        <v>0</v>
      </c>
      <c r="O199" s="38">
        <f t="shared" si="65"/>
        <v>0</v>
      </c>
    </row>
    <row r="200" spans="2:15" ht="15.75">
      <c r="B200" s="5" t="s">
        <v>175</v>
      </c>
      <c r="C200" s="19">
        <f t="shared" si="39"/>
        <v>0</v>
      </c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</row>
    <row r="201" spans="2:15" ht="31.5">
      <c r="B201" s="5" t="s">
        <v>176</v>
      </c>
      <c r="C201" s="19">
        <f t="shared" si="39"/>
        <v>0</v>
      </c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</row>
    <row r="202" spans="2:15" ht="15.75">
      <c r="B202" s="5" t="s">
        <v>177</v>
      </c>
      <c r="C202" s="19">
        <f t="shared" si="39"/>
        <v>0</v>
      </c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</row>
    <row r="203" spans="2:15" ht="15.75">
      <c r="B203" s="5" t="s">
        <v>178</v>
      </c>
      <c r="C203" s="19">
        <f t="shared" si="39"/>
        <v>0</v>
      </c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</row>
    <row r="204" spans="2:15" ht="15.75">
      <c r="B204" s="5" t="s">
        <v>179</v>
      </c>
      <c r="C204" s="19">
        <f t="shared" si="39"/>
        <v>0</v>
      </c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</row>
    <row r="205" spans="2:15" ht="15.75">
      <c r="B205" s="5" t="s">
        <v>180</v>
      </c>
      <c r="C205" s="19">
        <f t="shared" si="39"/>
        <v>0</v>
      </c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</row>
    <row r="206" spans="2:15" ht="15.75">
      <c r="B206" s="5" t="s">
        <v>181</v>
      </c>
      <c r="C206" s="19">
        <f t="shared" ref="C206:C227" si="66">SUM(D206:O206)</f>
        <v>0</v>
      </c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</row>
    <row r="207" spans="2:15" ht="15.75">
      <c r="B207" s="5" t="s">
        <v>182</v>
      </c>
      <c r="C207" s="19">
        <f t="shared" si="66"/>
        <v>0</v>
      </c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</row>
    <row r="208" spans="2:15" ht="15.75">
      <c r="B208" s="5" t="s">
        <v>183</v>
      </c>
      <c r="C208" s="19">
        <f t="shared" si="66"/>
        <v>0</v>
      </c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</row>
    <row r="209" spans="2:15" ht="31.5">
      <c r="B209" s="5" t="s">
        <v>184</v>
      </c>
      <c r="C209" s="19">
        <f t="shared" si="66"/>
        <v>4148912</v>
      </c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67">
        <f>462825+3686087</f>
        <v>4148912</v>
      </c>
    </row>
    <row r="210" spans="2:15" ht="31.5">
      <c r="B210" s="5" t="s">
        <v>185</v>
      </c>
      <c r="C210" s="19">
        <f t="shared" si="66"/>
        <v>0</v>
      </c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2:15" ht="31.5">
      <c r="B211" s="5" t="s">
        <v>186</v>
      </c>
      <c r="C211" s="19">
        <f t="shared" si="66"/>
        <v>0</v>
      </c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2:15" ht="31.5">
      <c r="B212" s="5" t="s">
        <v>187</v>
      </c>
      <c r="C212" s="19">
        <f t="shared" si="66"/>
        <v>0</v>
      </c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2:15" ht="15.75">
      <c r="B213" s="5" t="s">
        <v>188</v>
      </c>
      <c r="C213" s="19">
        <f t="shared" si="66"/>
        <v>0</v>
      </c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2:15" ht="15.75">
      <c r="B214" s="5" t="s">
        <v>189</v>
      </c>
      <c r="C214" s="19">
        <f t="shared" si="66"/>
        <v>0</v>
      </c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2:15" ht="15.75">
      <c r="B215" s="5" t="s">
        <v>190</v>
      </c>
      <c r="C215" s="19">
        <f t="shared" si="66"/>
        <v>0</v>
      </c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2:15" ht="15.75">
      <c r="B216" s="5" t="s">
        <v>191</v>
      </c>
      <c r="C216" s="19">
        <f t="shared" si="66"/>
        <v>0</v>
      </c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67">
        <v>0</v>
      </c>
    </row>
    <row r="217" spans="2:15" ht="15.75">
      <c r="B217" s="5" t="s">
        <v>192</v>
      </c>
      <c r="C217" s="19">
        <f t="shared" si="66"/>
        <v>0</v>
      </c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2:15" ht="15.75">
      <c r="B218" s="5" t="s">
        <v>193</v>
      </c>
      <c r="C218" s="19">
        <f t="shared" si="66"/>
        <v>0</v>
      </c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2:15" ht="15.75">
      <c r="B219" s="5" t="s">
        <v>194</v>
      </c>
      <c r="C219" s="19">
        <f t="shared" si="66"/>
        <v>4148912</v>
      </c>
      <c r="D219" s="22">
        <f>SUM(D200:D218)</f>
        <v>0</v>
      </c>
      <c r="E219" s="22">
        <f t="shared" ref="E219:H219" si="67">SUM(E200:E218)</f>
        <v>0</v>
      </c>
      <c r="F219" s="22">
        <f t="shared" si="67"/>
        <v>0</v>
      </c>
      <c r="G219" s="22">
        <f t="shared" si="67"/>
        <v>0</v>
      </c>
      <c r="H219" s="22">
        <f t="shared" si="67"/>
        <v>0</v>
      </c>
      <c r="I219" s="22">
        <f t="shared" ref="I219" si="68">SUM(I200:I218)</f>
        <v>0</v>
      </c>
      <c r="J219" s="22">
        <f t="shared" ref="J219" si="69">SUM(J200:J218)</f>
        <v>0</v>
      </c>
      <c r="K219" s="22">
        <f t="shared" ref="K219" si="70">SUM(K200:K218)</f>
        <v>0</v>
      </c>
      <c r="L219" s="22">
        <f t="shared" ref="L219" si="71">SUM(L200:L218)</f>
        <v>0</v>
      </c>
      <c r="M219" s="22">
        <f>SUM(M200:M218)</f>
        <v>0</v>
      </c>
      <c r="N219" s="22">
        <f t="shared" ref="N219" si="72">SUM(N200:N218)</f>
        <v>0</v>
      </c>
      <c r="O219" s="84">
        <f t="shared" ref="O219" si="73">SUM(O200:O218)</f>
        <v>4148912</v>
      </c>
    </row>
    <row r="220" spans="2:15" ht="15.75">
      <c r="B220" s="5" t="s">
        <v>195</v>
      </c>
      <c r="C220" s="19">
        <f t="shared" si="66"/>
        <v>0</v>
      </c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2:15" ht="15.75">
      <c r="B221" s="5" t="s">
        <v>196</v>
      </c>
      <c r="C221" s="19">
        <f t="shared" si="66"/>
        <v>0</v>
      </c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2:15" ht="15.75">
      <c r="B222" s="5" t="s">
        <v>197</v>
      </c>
      <c r="C222" s="19">
        <f t="shared" si="66"/>
        <v>0</v>
      </c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2:15" ht="15.75">
      <c r="B223" s="5" t="s">
        <v>198</v>
      </c>
      <c r="C223" s="19">
        <f t="shared" si="66"/>
        <v>0</v>
      </c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2:15" ht="15.75">
      <c r="B224" s="5" t="s">
        <v>199</v>
      </c>
      <c r="C224" s="19">
        <f t="shared" si="66"/>
        <v>0</v>
      </c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2:15" ht="15.75">
      <c r="B225" s="5" t="s">
        <v>200</v>
      </c>
      <c r="C225" s="19">
        <f t="shared" si="66"/>
        <v>0</v>
      </c>
      <c r="D225" s="22">
        <f>SUM(D220:D224)</f>
        <v>0</v>
      </c>
      <c r="E225" s="22">
        <f t="shared" ref="E225:H225" si="74">SUM(E220:E224)</f>
        <v>0</v>
      </c>
      <c r="F225" s="22">
        <f t="shared" si="74"/>
        <v>0</v>
      </c>
      <c r="G225" s="22">
        <f t="shared" si="74"/>
        <v>0</v>
      </c>
      <c r="H225" s="22">
        <f t="shared" si="74"/>
        <v>0</v>
      </c>
      <c r="I225" s="22">
        <f t="shared" ref="I225" si="75">SUM(I220:I224)</f>
        <v>0</v>
      </c>
      <c r="J225" s="22">
        <f t="shared" ref="J225" si="76">SUM(J220:J224)</f>
        <v>0</v>
      </c>
      <c r="K225" s="22">
        <f t="shared" ref="K225" si="77">SUM(K220:K224)</f>
        <v>0</v>
      </c>
      <c r="L225" s="22">
        <f t="shared" ref="L225" si="78">SUM(L220:L224)</f>
        <v>0</v>
      </c>
      <c r="M225" s="22">
        <f>SUM(M220:M224)</f>
        <v>0</v>
      </c>
      <c r="N225" s="22">
        <f t="shared" ref="N225" si="79">SUM(N220:N224)</f>
        <v>0</v>
      </c>
      <c r="O225" s="22">
        <f t="shared" ref="O225" si="80">SUM(O220:O224)</f>
        <v>0</v>
      </c>
    </row>
    <row r="226" spans="2:15" ht="15.75">
      <c r="B226" s="49" t="s">
        <v>201</v>
      </c>
      <c r="C226" s="19">
        <f t="shared" si="66"/>
        <v>4148912</v>
      </c>
      <c r="D226" s="22">
        <f>D219+D224+D225</f>
        <v>0</v>
      </c>
      <c r="E226" s="22">
        <f>E219+E224+E225</f>
        <v>0</v>
      </c>
      <c r="F226" s="22">
        <f>F219+F224+F225</f>
        <v>0</v>
      </c>
      <c r="G226" s="22">
        <f>G219+G224+G225</f>
        <v>0</v>
      </c>
      <c r="H226" s="22">
        <f>H219+H224+H225</f>
        <v>0</v>
      </c>
      <c r="I226" s="22">
        <f t="shared" ref="I226:O226" si="81">I219+I224+I225</f>
        <v>0</v>
      </c>
      <c r="J226" s="22">
        <f t="shared" si="81"/>
        <v>0</v>
      </c>
      <c r="K226" s="22">
        <f t="shared" si="81"/>
        <v>0</v>
      </c>
      <c r="L226" s="22">
        <f t="shared" si="81"/>
        <v>0</v>
      </c>
      <c r="M226" s="22">
        <f>M219+M224+M225</f>
        <v>0</v>
      </c>
      <c r="N226" s="22">
        <f t="shared" si="81"/>
        <v>0</v>
      </c>
      <c r="O226" s="22">
        <f t="shared" si="81"/>
        <v>4148912</v>
      </c>
    </row>
    <row r="227" spans="2:15" ht="20.25">
      <c r="B227" s="53" t="s">
        <v>202</v>
      </c>
      <c r="C227" s="19">
        <f t="shared" si="66"/>
        <v>196387412</v>
      </c>
      <c r="D227" s="26">
        <f>D197+D226</f>
        <v>0</v>
      </c>
      <c r="E227" s="26">
        <f>E197+E226</f>
        <v>0</v>
      </c>
      <c r="F227" s="26">
        <f t="shared" ref="F227:H227" si="82">F197+F226</f>
        <v>0</v>
      </c>
      <c r="G227" s="26">
        <f t="shared" si="82"/>
        <v>0</v>
      </c>
      <c r="H227" s="26">
        <f t="shared" si="82"/>
        <v>0</v>
      </c>
      <c r="I227" s="26">
        <f t="shared" ref="I227" si="83">I197+I226</f>
        <v>0</v>
      </c>
      <c r="J227" s="26">
        <f t="shared" ref="J227" si="84">J197+J226</f>
        <v>0</v>
      </c>
      <c r="K227" s="26">
        <f t="shared" ref="K227" si="85">K197+K226</f>
        <v>6350000</v>
      </c>
      <c r="L227" s="26">
        <f t="shared" ref="L227" si="86">L197+L226</f>
        <v>128270000</v>
      </c>
      <c r="M227" s="26">
        <f>M197+M226</f>
        <v>57555000</v>
      </c>
      <c r="N227" s="26">
        <f t="shared" ref="N227" si="87">N197+N226</f>
        <v>63500</v>
      </c>
      <c r="O227" s="26">
        <f t="shared" ref="O227" si="88">O197+O226</f>
        <v>4148912</v>
      </c>
    </row>
    <row r="228" spans="2:15"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</row>
    <row r="229" spans="2:15">
      <c r="C229" s="68">
        <f>SUM(D229:O229)</f>
        <v>-85418844.875</v>
      </c>
      <c r="D229" s="29">
        <f>D227-D128</f>
        <v>-203200</v>
      </c>
      <c r="E229" s="29">
        <f t="shared" ref="E229:O229" si="89">E227-E128</f>
        <v>0</v>
      </c>
      <c r="F229" s="29">
        <f t="shared" si="89"/>
        <v>-15240000</v>
      </c>
      <c r="G229" s="29">
        <f t="shared" si="89"/>
        <v>-762000</v>
      </c>
      <c r="H229" s="29">
        <f t="shared" si="89"/>
        <v>-37592000</v>
      </c>
      <c r="I229" s="29">
        <f t="shared" si="89"/>
        <v>-14351000</v>
      </c>
      <c r="J229" s="29">
        <f t="shared" si="89"/>
        <v>-99875462.5</v>
      </c>
      <c r="K229" s="29">
        <f t="shared" si="89"/>
        <v>-1700000</v>
      </c>
      <c r="L229" s="29">
        <f t="shared" si="89"/>
        <v>54020280.625</v>
      </c>
      <c r="M229" s="29">
        <f t="shared" si="89"/>
        <v>26554725</v>
      </c>
      <c r="N229" s="29">
        <f t="shared" si="89"/>
        <v>-419100</v>
      </c>
      <c r="O229" s="29">
        <f t="shared" si="89"/>
        <v>4148912</v>
      </c>
    </row>
    <row r="230" spans="2:15">
      <c r="B230" s="48" t="s">
        <v>259</v>
      </c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</row>
    <row r="231" spans="2:15">
      <c r="D231" s="32"/>
      <c r="E231" s="32"/>
      <c r="F231" s="32"/>
      <c r="G231" s="32"/>
      <c r="H231" s="32"/>
      <c r="I231" s="32"/>
      <c r="J231" s="32" t="s">
        <v>403</v>
      </c>
      <c r="K231" s="32"/>
      <c r="L231" s="32" t="s">
        <v>250</v>
      </c>
      <c r="M231" s="32" t="s">
        <v>413</v>
      </c>
      <c r="N231" s="32"/>
      <c r="O231" s="32"/>
    </row>
    <row r="232" spans="2:15">
      <c r="D232" s="20"/>
      <c r="E232" s="20"/>
      <c r="F232" s="20"/>
      <c r="G232" s="20"/>
      <c r="H232" s="20"/>
      <c r="I232" s="20"/>
      <c r="J232" s="20" t="s">
        <v>252</v>
      </c>
      <c r="K232" s="20"/>
      <c r="L232" s="20" t="s">
        <v>258</v>
      </c>
      <c r="M232" s="20" t="s">
        <v>401</v>
      </c>
      <c r="N232" s="20"/>
      <c r="O232" s="20"/>
    </row>
    <row r="233" spans="2:15">
      <c r="D233" s="20"/>
      <c r="E233" s="20"/>
      <c r="F233" s="20"/>
      <c r="G233" s="20"/>
      <c r="H233" s="20"/>
      <c r="I233" s="20"/>
      <c r="J233" s="20" t="s">
        <v>253</v>
      </c>
      <c r="K233" s="20"/>
      <c r="L233" s="20"/>
      <c r="M233" s="20"/>
      <c r="N233" s="20"/>
      <c r="O233" s="20"/>
    </row>
    <row r="234" spans="2:15" ht="26.25">
      <c r="B234" s="96" t="s">
        <v>318</v>
      </c>
      <c r="C234" s="80" t="s">
        <v>305</v>
      </c>
      <c r="D234" s="120" t="s">
        <v>307</v>
      </c>
      <c r="E234" s="80" t="s">
        <v>412</v>
      </c>
      <c r="F234" s="80" t="s">
        <v>308</v>
      </c>
      <c r="J234" s="20" t="s">
        <v>402</v>
      </c>
    </row>
    <row r="235" spans="2:15" ht="18">
      <c r="B235" s="83"/>
      <c r="C235" s="87"/>
      <c r="D235" s="87">
        <f>C235*0.27</f>
        <v>0</v>
      </c>
      <c r="E235" s="88"/>
      <c r="F235" s="89">
        <f>SUM(C235:E235)</f>
        <v>0</v>
      </c>
      <c r="J235" s="20" t="s">
        <v>254</v>
      </c>
    </row>
    <row r="236" spans="2:15" ht="18">
      <c r="B236" s="82" t="s">
        <v>385</v>
      </c>
      <c r="C236" s="87">
        <v>400000</v>
      </c>
      <c r="D236" s="87">
        <v>0</v>
      </c>
      <c r="E236" s="88">
        <v>108000</v>
      </c>
      <c r="F236" s="89">
        <f t="shared" ref="F236:F237" si="90">SUM(C236:E236)</f>
        <v>508000</v>
      </c>
      <c r="J236" s="20" t="s">
        <v>255</v>
      </c>
    </row>
    <row r="237" spans="2:15" ht="18">
      <c r="B237" s="83" t="s">
        <v>398</v>
      </c>
      <c r="C237" s="87">
        <v>200000</v>
      </c>
      <c r="D237" s="87">
        <f t="shared" ref="D237" si="91">C237*0.27</f>
        <v>54000</v>
      </c>
      <c r="E237" s="88"/>
      <c r="F237" s="89">
        <f t="shared" si="90"/>
        <v>254000</v>
      </c>
      <c r="J237" s="20" t="s">
        <v>256</v>
      </c>
    </row>
    <row r="238" spans="2:15" ht="18">
      <c r="B238" s="83" t="s">
        <v>399</v>
      </c>
      <c r="C238" s="87">
        <v>400000</v>
      </c>
      <c r="D238" s="87">
        <f t="shared" ref="D238:D249" si="92">C238*0.27</f>
        <v>108000</v>
      </c>
      <c r="E238" s="88"/>
      <c r="F238" s="89">
        <f t="shared" ref="F238:F249" si="93">SUM(C238:E238)</f>
        <v>508000</v>
      </c>
      <c r="J238" s="20" t="s">
        <v>257</v>
      </c>
    </row>
    <row r="239" spans="2:15" ht="18">
      <c r="B239" s="83" t="s">
        <v>405</v>
      </c>
      <c r="C239" s="87">
        <v>1300000</v>
      </c>
      <c r="D239" s="87">
        <f t="shared" si="92"/>
        <v>351000</v>
      </c>
      <c r="E239" s="88"/>
      <c r="F239" s="89">
        <f t="shared" si="93"/>
        <v>1651000</v>
      </c>
      <c r="J239" s="20" t="s">
        <v>404</v>
      </c>
    </row>
    <row r="240" spans="2:15" ht="18">
      <c r="B240" s="83"/>
      <c r="C240" s="87"/>
      <c r="D240" s="87">
        <f>C240*0.27</f>
        <v>0</v>
      </c>
      <c r="E240" s="88"/>
      <c r="F240" s="89">
        <f>SUM(C240:E240)</f>
        <v>0</v>
      </c>
    </row>
    <row r="241" spans="2:7" ht="18">
      <c r="B241" s="83"/>
      <c r="C241" s="87"/>
      <c r="D241" s="87">
        <f>C241*0.27</f>
        <v>0</v>
      </c>
      <c r="E241" s="88"/>
      <c r="F241" s="89">
        <f>SUM(C241:E241)</f>
        <v>0</v>
      </c>
    </row>
    <row r="242" spans="2:7" ht="18">
      <c r="B242" s="83"/>
      <c r="C242" s="87"/>
      <c r="D242" s="87">
        <f>C242*0.27</f>
        <v>0</v>
      </c>
      <c r="E242" s="88"/>
      <c r="F242" s="89">
        <f>SUM(C242:E242)</f>
        <v>0</v>
      </c>
    </row>
    <row r="243" spans="2:7" ht="18">
      <c r="B243" s="82"/>
      <c r="C243" s="87"/>
      <c r="D243" s="87">
        <f t="shared" si="92"/>
        <v>0</v>
      </c>
      <c r="E243" s="88"/>
      <c r="F243" s="89">
        <f t="shared" si="93"/>
        <v>0</v>
      </c>
    </row>
    <row r="244" spans="2:7" ht="18">
      <c r="B244" s="83"/>
      <c r="C244" s="87"/>
      <c r="D244" s="87">
        <f t="shared" si="92"/>
        <v>0</v>
      </c>
      <c r="E244" s="88"/>
      <c r="F244" s="89">
        <f t="shared" si="93"/>
        <v>0</v>
      </c>
    </row>
    <row r="245" spans="2:7" ht="18">
      <c r="B245" s="82"/>
      <c r="C245" s="87"/>
      <c r="D245" s="87">
        <f t="shared" si="92"/>
        <v>0</v>
      </c>
      <c r="E245" s="88"/>
      <c r="F245" s="89">
        <f t="shared" si="93"/>
        <v>0</v>
      </c>
    </row>
    <row r="246" spans="2:7" ht="18">
      <c r="B246" s="82"/>
      <c r="C246" s="87"/>
      <c r="D246" s="87">
        <f t="shared" si="92"/>
        <v>0</v>
      </c>
      <c r="E246" s="88"/>
      <c r="F246" s="89">
        <f t="shared" si="93"/>
        <v>0</v>
      </c>
    </row>
    <row r="247" spans="2:7" ht="18">
      <c r="B247" s="82"/>
      <c r="C247" s="87"/>
      <c r="D247" s="87">
        <f t="shared" si="92"/>
        <v>0</v>
      </c>
      <c r="E247" s="88"/>
      <c r="F247" s="89">
        <f t="shared" ref="F247" si="94">SUM(C247:E247)</f>
        <v>0</v>
      </c>
    </row>
    <row r="248" spans="2:7" ht="18">
      <c r="B248" s="83"/>
      <c r="C248" s="87"/>
      <c r="D248" s="87">
        <f t="shared" si="92"/>
        <v>0</v>
      </c>
      <c r="E248" s="88"/>
      <c r="F248" s="89">
        <f t="shared" si="93"/>
        <v>0</v>
      </c>
    </row>
    <row r="249" spans="2:7" ht="18">
      <c r="B249" s="83"/>
      <c r="C249" s="87"/>
      <c r="D249" s="87">
        <f t="shared" si="92"/>
        <v>0</v>
      </c>
      <c r="E249" s="88"/>
      <c r="F249" s="89">
        <f t="shared" si="93"/>
        <v>0</v>
      </c>
    </row>
    <row r="250" spans="2:7" ht="15.75">
      <c r="B250" s="59"/>
      <c r="C250" s="86">
        <f>SUM(C235:C249)</f>
        <v>2300000</v>
      </c>
      <c r="D250" s="86">
        <f t="shared" ref="D250:F250" si="95">SUM(D235:D249)</f>
        <v>513000</v>
      </c>
      <c r="E250" s="86">
        <f t="shared" si="95"/>
        <v>108000</v>
      </c>
      <c r="F250" s="86">
        <f t="shared" si="95"/>
        <v>2921000</v>
      </c>
    </row>
    <row r="252" spans="2:7">
      <c r="C252" s="80" t="s">
        <v>305</v>
      </c>
      <c r="D252" s="120" t="s">
        <v>307</v>
      </c>
      <c r="E252" s="80"/>
      <c r="F252" s="80" t="s">
        <v>308</v>
      </c>
      <c r="G252" s="122" t="s">
        <v>390</v>
      </c>
    </row>
    <row r="253" spans="2:7" ht="36">
      <c r="B253" s="83" t="s">
        <v>373</v>
      </c>
      <c r="C253" s="87">
        <v>350000</v>
      </c>
      <c r="D253" s="87">
        <f>C253*0.27</f>
        <v>94500</v>
      </c>
      <c r="E253" s="88"/>
      <c r="F253" s="89">
        <f>SUM(C253:E253)</f>
        <v>444500</v>
      </c>
    </row>
    <row r="254" spans="2:7" ht="36">
      <c r="B254" s="83" t="s">
        <v>374</v>
      </c>
      <c r="C254" s="87">
        <v>300000</v>
      </c>
      <c r="D254" s="87">
        <f t="shared" ref="D254:D256" si="96">C254*0.27</f>
        <v>81000</v>
      </c>
      <c r="E254" s="88"/>
      <c r="F254" s="89">
        <f t="shared" ref="F254:F256" si="97">SUM(C254:E254)</f>
        <v>381000</v>
      </c>
    </row>
    <row r="255" spans="2:7" ht="18">
      <c r="B255" s="83" t="s">
        <v>375</v>
      </c>
      <c r="C255" s="87">
        <v>300000</v>
      </c>
      <c r="D255" s="87">
        <f t="shared" si="96"/>
        <v>81000</v>
      </c>
      <c r="E255" s="88"/>
      <c r="F255" s="89">
        <f t="shared" si="97"/>
        <v>381000</v>
      </c>
    </row>
    <row r="256" spans="2:7" ht="18">
      <c r="B256" s="83" t="s">
        <v>376</v>
      </c>
      <c r="C256" s="87">
        <v>100000</v>
      </c>
      <c r="D256" s="87">
        <f t="shared" si="96"/>
        <v>27000</v>
      </c>
      <c r="E256" s="88"/>
      <c r="F256" s="89">
        <f t="shared" si="97"/>
        <v>127000</v>
      </c>
    </row>
    <row r="257" spans="2:9" ht="18">
      <c r="B257" s="83" t="s">
        <v>377</v>
      </c>
      <c r="C257" s="87">
        <v>400000</v>
      </c>
      <c r="D257" s="87">
        <f>C257*0.27</f>
        <v>108000</v>
      </c>
      <c r="E257" s="88"/>
      <c r="F257" s="89">
        <f>SUM(C257:E257)</f>
        <v>508000</v>
      </c>
    </row>
    <row r="258" spans="2:9" ht="18">
      <c r="B258" s="83" t="s">
        <v>378</v>
      </c>
      <c r="C258" s="87">
        <v>100000</v>
      </c>
      <c r="D258" s="87">
        <f>C258*0.27</f>
        <v>27000</v>
      </c>
      <c r="E258" s="88"/>
      <c r="F258" s="89">
        <f>SUM(C258:E258)</f>
        <v>127000</v>
      </c>
    </row>
    <row r="259" spans="2:9" ht="18">
      <c r="B259" s="83" t="s">
        <v>379</v>
      </c>
      <c r="C259" s="87">
        <v>200000</v>
      </c>
      <c r="D259" s="87">
        <f>C259*0.27</f>
        <v>54000</v>
      </c>
      <c r="E259" s="88"/>
      <c r="F259" s="89">
        <f>SUM(C259:E259)</f>
        <v>254000</v>
      </c>
      <c r="G259" s="121"/>
    </row>
    <row r="260" spans="2:9" ht="18">
      <c r="B260" s="82" t="s">
        <v>384</v>
      </c>
      <c r="C260" s="87">
        <v>150000</v>
      </c>
      <c r="D260" s="87">
        <f t="shared" ref="D260" si="98">C260*0.27</f>
        <v>40500</v>
      </c>
      <c r="E260" s="88"/>
      <c r="F260" s="89">
        <f t="shared" ref="F260" si="99">SUM(C260:E260)</f>
        <v>190500</v>
      </c>
      <c r="G260" s="121">
        <f>SUM(C253:C260)</f>
        <v>1900000</v>
      </c>
      <c r="H260" t="s">
        <v>353</v>
      </c>
      <c r="I260" t="s">
        <v>392</v>
      </c>
    </row>
    <row r="261" spans="2:9" ht="18">
      <c r="B261" s="82"/>
      <c r="C261" s="87"/>
      <c r="D261" s="87">
        <f t="shared" ref="D261:D266" si="100">C261*0.27</f>
        <v>0</v>
      </c>
      <c r="E261" s="88"/>
      <c r="F261" s="89">
        <f t="shared" ref="F261:F263" si="101">SUM(C261:E261)</f>
        <v>0</v>
      </c>
    </row>
    <row r="262" spans="2:9" ht="18">
      <c r="B262" s="82"/>
      <c r="C262" s="87"/>
      <c r="D262" s="87">
        <f t="shared" ref="D262" si="102">C262*0.27</f>
        <v>0</v>
      </c>
      <c r="E262" s="88"/>
      <c r="F262" s="89">
        <f t="shared" ref="F262" si="103">SUM(C262:E262)</f>
        <v>0</v>
      </c>
    </row>
    <row r="263" spans="2:9" ht="18">
      <c r="B263" s="82" t="s">
        <v>381</v>
      </c>
      <c r="C263" s="87">
        <v>300000</v>
      </c>
      <c r="D263" s="87">
        <f t="shared" si="100"/>
        <v>81000</v>
      </c>
      <c r="E263" s="88"/>
      <c r="F263" s="89">
        <f t="shared" si="101"/>
        <v>381000</v>
      </c>
    </row>
    <row r="264" spans="2:9" ht="18">
      <c r="B264" s="82" t="s">
        <v>380</v>
      </c>
      <c r="C264" s="87">
        <v>500000</v>
      </c>
      <c r="D264" s="87">
        <f t="shared" ref="D264" si="104">C264*0.27</f>
        <v>135000</v>
      </c>
      <c r="E264" s="88"/>
      <c r="F264" s="89">
        <f t="shared" ref="F264" si="105">SUM(C264:E264)</f>
        <v>635000</v>
      </c>
      <c r="G264" s="121">
        <f>SUM(C263:C264)</f>
        <v>800000</v>
      </c>
      <c r="H264" t="s">
        <v>353</v>
      </c>
      <c r="I264" t="s">
        <v>393</v>
      </c>
    </row>
    <row r="265" spans="2:9" ht="18">
      <c r="B265" s="82"/>
      <c r="C265" s="87"/>
      <c r="D265" s="87">
        <f t="shared" si="100"/>
        <v>0</v>
      </c>
      <c r="E265" s="88"/>
      <c r="F265" s="89">
        <f t="shared" ref="F265" si="106">SUM(C265:E265)</f>
        <v>0</v>
      </c>
    </row>
    <row r="266" spans="2:9" ht="36">
      <c r="B266" s="83" t="s">
        <v>400</v>
      </c>
      <c r="C266" s="87">
        <v>2200000</v>
      </c>
      <c r="D266" s="87">
        <f t="shared" si="100"/>
        <v>594000</v>
      </c>
      <c r="E266" s="88"/>
      <c r="F266" s="89">
        <f t="shared" ref="F266" si="107">SUM(C266:E266)</f>
        <v>2794000</v>
      </c>
      <c r="G266" s="121">
        <f>C266</f>
        <v>2200000</v>
      </c>
      <c r="H266" t="s">
        <v>391</v>
      </c>
      <c r="I266" t="s">
        <v>394</v>
      </c>
    </row>
    <row r="267" spans="2:9">
      <c r="C267" s="121">
        <f>SUM(C253:C266)</f>
        <v>4900000</v>
      </c>
      <c r="D267" s="121">
        <f t="shared" ref="D267:F267" si="108">SUM(D253:D266)</f>
        <v>1323000</v>
      </c>
      <c r="E267" s="121">
        <f t="shared" si="108"/>
        <v>0</v>
      </c>
      <c r="F267" s="121">
        <f t="shared" si="108"/>
        <v>6223000</v>
      </c>
    </row>
  </sheetData>
  <hyperlinks>
    <hyperlink ref="B45" r:id="rId1" location="sup194" display="http://www.opten.hu/loadpage.php - sup194"/>
    <hyperlink ref="B50" r:id="rId2" location="sup195" display="http://www.opten.hu/loadpage.php - sup195"/>
    <hyperlink ref="B59" r:id="rId3" location="sup203" display="http://www.opten.hu/loadpage.php?dest=OISZ&amp;twhich=214774&amp;srcid=ol4366 - sup203"/>
    <hyperlink ref="B51" r:id="rId4" location="sup195" display="http://www.opten.hu/loadpage.php - sup195"/>
  </hyperlinks>
  <pageMargins left="0.35433070866141736" right="0.35433070866141736" top="0.59055118110236227" bottom="0.59055118110236227" header="0.51181102362204722" footer="0.51181102362204722"/>
  <pageSetup paperSize="9" scale="45" orientation="landscape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0"/>
  <sheetViews>
    <sheetView zoomScale="70" zoomScaleNormal="70" workbookViewId="0">
      <pane ySplit="4" topLeftCell="A17" activePane="bottomLeft" state="frozen"/>
      <selection activeCell="B1" sqref="B1"/>
      <selection pane="bottomLeft" activeCell="H46" sqref="H46"/>
    </sheetView>
  </sheetViews>
  <sheetFormatPr defaultRowHeight="15"/>
  <cols>
    <col min="1" max="1" width="2.7109375" customWidth="1"/>
    <col min="2" max="2" width="72.28515625" customWidth="1"/>
    <col min="3" max="3" width="19.85546875" customWidth="1"/>
    <col min="4" max="10" width="16.85546875" customWidth="1"/>
  </cols>
  <sheetData>
    <row r="1" spans="2:11" ht="15.75">
      <c r="B1" s="1"/>
    </row>
    <row r="2" spans="2:11" ht="15.75">
      <c r="B2" s="1"/>
    </row>
    <row r="3" spans="2:11" ht="15.75">
      <c r="B3" s="1" t="s">
        <v>323</v>
      </c>
      <c r="C3" s="2" t="s">
        <v>0</v>
      </c>
      <c r="D3" s="94" t="s">
        <v>315</v>
      </c>
      <c r="E3" s="94" t="s">
        <v>410</v>
      </c>
      <c r="F3" s="94" t="s">
        <v>251</v>
      </c>
      <c r="G3" s="94" t="s">
        <v>292</v>
      </c>
      <c r="H3" s="94" t="s">
        <v>292</v>
      </c>
      <c r="I3" s="94"/>
      <c r="J3" s="94"/>
      <c r="K3" s="94" t="s">
        <v>411</v>
      </c>
    </row>
    <row r="4" spans="2:11" ht="47.25">
      <c r="B4" s="34" t="s">
        <v>1</v>
      </c>
      <c r="C4" s="35" t="s">
        <v>325</v>
      </c>
      <c r="D4" s="35" t="s">
        <v>215</v>
      </c>
      <c r="E4" s="35" t="s">
        <v>216</v>
      </c>
      <c r="F4" s="35" t="s">
        <v>217</v>
      </c>
      <c r="G4" s="35" t="s">
        <v>314</v>
      </c>
      <c r="H4" s="35" t="s">
        <v>309</v>
      </c>
      <c r="I4" s="35" t="s">
        <v>222</v>
      </c>
      <c r="J4" s="35" t="s">
        <v>218</v>
      </c>
    </row>
    <row r="5" spans="2:11" ht="15.75">
      <c r="B5" s="7" t="s">
        <v>2</v>
      </c>
      <c r="C5" s="19">
        <f>SUM(D5:J5)</f>
        <v>70696298</v>
      </c>
      <c r="D5" s="22">
        <f>SUM(D6:D16)</f>
        <v>45600300</v>
      </c>
      <c r="E5" s="22">
        <f t="shared" ref="E5:J5" si="0">SUM(E6:E16)</f>
        <v>10577398</v>
      </c>
      <c r="F5" s="22">
        <f t="shared" ref="F5" si="1">SUM(F6:F16)</f>
        <v>6845500</v>
      </c>
      <c r="G5" s="22">
        <f t="shared" ref="G5" si="2">SUM(G6:G16)</f>
        <v>3748750</v>
      </c>
      <c r="H5" s="22">
        <f t="shared" si="0"/>
        <v>3924350</v>
      </c>
      <c r="I5" s="22">
        <f t="shared" si="0"/>
        <v>0</v>
      </c>
      <c r="J5" s="22">
        <f t="shared" si="0"/>
        <v>0</v>
      </c>
    </row>
    <row r="6" spans="2:11" ht="15.75">
      <c r="B6" s="4" t="s">
        <v>3</v>
      </c>
      <c r="C6" s="19">
        <f t="shared" ref="C6:C70" si="3">SUM(D6:J6)</f>
        <v>62892708</v>
      </c>
      <c r="D6" s="23">
        <v>40897560</v>
      </c>
      <c r="E6" s="23">
        <v>9575148</v>
      </c>
      <c r="F6" s="23">
        <v>5934000</v>
      </c>
      <c r="G6" s="23">
        <v>3243000</v>
      </c>
      <c r="H6" s="23">
        <v>3243000</v>
      </c>
      <c r="I6" s="23"/>
      <c r="J6" s="23"/>
    </row>
    <row r="7" spans="2:11" ht="15.75">
      <c r="B7" s="4" t="s">
        <v>4</v>
      </c>
      <c r="C7" s="19">
        <f t="shared" si="3"/>
        <v>2328750</v>
      </c>
      <c r="D7" s="23">
        <f>(200000+150000+400000+200000+300000)*1.15</f>
        <v>1437500</v>
      </c>
      <c r="E7" s="23">
        <f>275000*1.15</f>
        <v>316250</v>
      </c>
      <c r="F7" s="23">
        <f>250000*1.15</f>
        <v>287500</v>
      </c>
      <c r="G7" s="23">
        <f>125000*1.15</f>
        <v>143750</v>
      </c>
      <c r="H7" s="23">
        <f>125000*1.15</f>
        <v>143750</v>
      </c>
      <c r="I7" s="23"/>
      <c r="J7" s="23"/>
    </row>
    <row r="8" spans="2:11" ht="15.75">
      <c r="B8" s="4" t="s">
        <v>5</v>
      </c>
      <c r="C8" s="19">
        <f t="shared" si="3"/>
        <v>0</v>
      </c>
      <c r="D8" s="23"/>
      <c r="E8" s="23"/>
      <c r="F8" s="23"/>
      <c r="G8" s="23"/>
      <c r="H8" s="23"/>
      <c r="I8" s="23"/>
      <c r="J8" s="23"/>
    </row>
    <row r="9" spans="2:11" ht="15.75">
      <c r="B9" s="4" t="s">
        <v>6</v>
      </c>
      <c r="C9" s="19">
        <f t="shared" si="3"/>
        <v>0</v>
      </c>
      <c r="D9" s="23"/>
      <c r="E9" s="23"/>
      <c r="F9" s="23"/>
      <c r="G9" s="23"/>
      <c r="H9" s="23"/>
      <c r="I9" s="23"/>
      <c r="J9" s="23"/>
    </row>
    <row r="10" spans="2:11" ht="15.75">
      <c r="B10" s="4" t="s">
        <v>7</v>
      </c>
      <c r="C10" s="19">
        <f t="shared" si="3"/>
        <v>0</v>
      </c>
      <c r="D10" s="23"/>
      <c r="E10" s="23"/>
      <c r="F10" s="23"/>
      <c r="G10" s="23"/>
      <c r="H10" s="23"/>
      <c r="I10" s="23"/>
      <c r="J10" s="23"/>
    </row>
    <row r="11" spans="2:11" ht="15.75">
      <c r="B11" s="4" t="s">
        <v>8</v>
      </c>
      <c r="C11" s="19">
        <f t="shared" si="3"/>
        <v>0</v>
      </c>
      <c r="D11" s="23"/>
      <c r="E11" s="23"/>
      <c r="F11" s="23"/>
      <c r="G11" s="23"/>
      <c r="H11" s="23"/>
      <c r="I11" s="23"/>
      <c r="J11" s="23"/>
    </row>
    <row r="12" spans="2:11" ht="15.75">
      <c r="B12" s="4" t="s">
        <v>9</v>
      </c>
      <c r="C12" s="19">
        <f t="shared" si="3"/>
        <v>300000</v>
      </c>
      <c r="D12" s="23">
        <v>250000</v>
      </c>
      <c r="E12" s="23"/>
      <c r="F12" s="23"/>
      <c r="G12" s="23">
        <v>50000</v>
      </c>
      <c r="H12" s="23"/>
      <c r="I12" s="23"/>
      <c r="J12" s="23"/>
    </row>
    <row r="13" spans="2:11" ht="15.75">
      <c r="B13" s="4" t="s">
        <v>332</v>
      </c>
      <c r="C13" s="19">
        <f t="shared" si="3"/>
        <v>216000</v>
      </c>
      <c r="D13" s="23">
        <f>11*12000</f>
        <v>132000</v>
      </c>
      <c r="E13" s="23">
        <v>36000</v>
      </c>
      <c r="F13" s="23">
        <v>24000</v>
      </c>
      <c r="G13" s="23">
        <v>12000</v>
      </c>
      <c r="H13" s="23">
        <v>12000</v>
      </c>
      <c r="I13" s="23"/>
      <c r="J13" s="23"/>
    </row>
    <row r="14" spans="2:11" ht="15.75">
      <c r="B14" s="4" t="s">
        <v>11</v>
      </c>
      <c r="C14" s="19">
        <f t="shared" si="3"/>
        <v>0</v>
      </c>
      <c r="D14" s="23"/>
      <c r="E14" s="23"/>
      <c r="F14" s="23"/>
      <c r="G14" s="23"/>
      <c r="H14" s="23"/>
      <c r="I14" s="23"/>
      <c r="J14" s="23"/>
    </row>
    <row r="15" spans="2:11" ht="15.75">
      <c r="B15" s="4" t="s">
        <v>12</v>
      </c>
      <c r="C15" s="19">
        <f t="shared" si="3"/>
        <v>0</v>
      </c>
      <c r="D15" s="23"/>
      <c r="E15" s="23"/>
      <c r="F15" s="23"/>
      <c r="G15" s="23"/>
      <c r="H15" s="23"/>
      <c r="I15" s="23"/>
      <c r="J15" s="23"/>
    </row>
    <row r="16" spans="2:11" ht="31.5">
      <c r="B16" s="5" t="s">
        <v>333</v>
      </c>
      <c r="C16" s="19">
        <f t="shared" si="3"/>
        <v>4958840</v>
      </c>
      <c r="D16" s="23">
        <f>150000+12*200000+27770*12</f>
        <v>2883240</v>
      </c>
      <c r="E16" s="23">
        <f>100000+2*200000+200000*0.75</f>
        <v>650000</v>
      </c>
      <c r="F16" s="23">
        <f>200000+2*200000</f>
        <v>600000</v>
      </c>
      <c r="G16" s="23">
        <f>100000+200000</f>
        <v>300000</v>
      </c>
      <c r="H16" s="23">
        <f>100000+200000+18800*12</f>
        <v>525600</v>
      </c>
      <c r="I16" s="23"/>
      <c r="J16" s="23"/>
    </row>
    <row r="17" spans="2:10" ht="15.75">
      <c r="B17" s="7" t="s">
        <v>14</v>
      </c>
      <c r="C17" s="19">
        <f t="shared" si="3"/>
        <v>2700000</v>
      </c>
      <c r="D17" s="22">
        <f>SUM(D18:D20)</f>
        <v>0</v>
      </c>
      <c r="E17" s="22">
        <f t="shared" ref="E17:J17" si="4">SUM(E18:E20)</f>
        <v>0</v>
      </c>
      <c r="F17" s="22">
        <f t="shared" ref="F17" si="5">SUM(F18:F20)</f>
        <v>0</v>
      </c>
      <c r="G17" s="22">
        <f t="shared" ref="G17" si="6">SUM(G18:G20)</f>
        <v>0</v>
      </c>
      <c r="H17" s="22">
        <f t="shared" si="4"/>
        <v>2700000</v>
      </c>
      <c r="I17" s="22">
        <f t="shared" si="4"/>
        <v>0</v>
      </c>
      <c r="J17" s="22">
        <f t="shared" si="4"/>
        <v>0</v>
      </c>
    </row>
    <row r="18" spans="2:10" ht="15.75">
      <c r="B18" s="4" t="s">
        <v>15</v>
      </c>
      <c r="C18" s="19">
        <f t="shared" si="3"/>
        <v>0</v>
      </c>
      <c r="D18" s="23"/>
      <c r="E18" s="23"/>
      <c r="F18" s="23"/>
      <c r="G18" s="23"/>
      <c r="H18" s="23"/>
      <c r="I18" s="23"/>
      <c r="J18" s="23"/>
    </row>
    <row r="19" spans="2:10" ht="35.450000000000003" customHeight="1">
      <c r="B19" s="5" t="s">
        <v>16</v>
      </c>
      <c r="C19" s="19">
        <f t="shared" si="3"/>
        <v>2600000</v>
      </c>
      <c r="D19" s="23"/>
      <c r="E19" s="23"/>
      <c r="F19" s="23"/>
      <c r="G19" s="23"/>
      <c r="H19" s="23">
        <v>2600000</v>
      </c>
      <c r="I19" s="23"/>
      <c r="J19" s="23"/>
    </row>
    <row r="20" spans="2:10" ht="15.75">
      <c r="B20" s="4" t="s">
        <v>17</v>
      </c>
      <c r="C20" s="19">
        <f t="shared" si="3"/>
        <v>100000</v>
      </c>
      <c r="D20" s="23">
        <v>0</v>
      </c>
      <c r="E20" s="23">
        <v>0</v>
      </c>
      <c r="F20" s="23">
        <v>0</v>
      </c>
      <c r="G20" s="23">
        <v>0</v>
      </c>
      <c r="H20" s="23">
        <v>100000</v>
      </c>
      <c r="I20" s="23"/>
      <c r="J20" s="23"/>
    </row>
    <row r="21" spans="2:10" ht="15.75">
      <c r="B21" s="6" t="s">
        <v>18</v>
      </c>
      <c r="C21" s="19">
        <f t="shared" si="3"/>
        <v>73396298</v>
      </c>
      <c r="D21" s="22">
        <f>D5+D17</f>
        <v>45600300</v>
      </c>
      <c r="E21" s="22">
        <f t="shared" ref="E21:J21" si="7">E5+E17</f>
        <v>10577398</v>
      </c>
      <c r="F21" s="22">
        <f t="shared" ref="F21" si="8">F5+F17</f>
        <v>6845500</v>
      </c>
      <c r="G21" s="22">
        <f t="shared" ref="G21" si="9">G5+G17</f>
        <v>3748750</v>
      </c>
      <c r="H21" s="22">
        <f t="shared" si="7"/>
        <v>6624350</v>
      </c>
      <c r="I21" s="22">
        <f t="shared" si="7"/>
        <v>0</v>
      </c>
      <c r="J21" s="22">
        <f t="shared" si="7"/>
        <v>0</v>
      </c>
    </row>
    <row r="22" spans="2:10" ht="15.75">
      <c r="B22" s="6" t="s">
        <v>19</v>
      </c>
      <c r="C22" s="19">
        <f t="shared" si="3"/>
        <v>12959352.149999999</v>
      </c>
      <c r="D22" s="22">
        <f t="shared" ref="D22:J22" si="10">D23+D24+D25</f>
        <v>8045052.4999999991</v>
      </c>
      <c r="E22" s="22">
        <f t="shared" si="10"/>
        <v>1851044.65</v>
      </c>
      <c r="F22" s="22">
        <f t="shared" ref="F22" si="11">F23+F24+F25</f>
        <v>1197962.5</v>
      </c>
      <c r="G22" s="22">
        <f t="shared" ref="G22" si="12">G23+G24+G25</f>
        <v>656031.25</v>
      </c>
      <c r="H22" s="22">
        <f t="shared" si="10"/>
        <v>1209261.25</v>
      </c>
      <c r="I22" s="22">
        <f t="shared" si="10"/>
        <v>0</v>
      </c>
      <c r="J22" s="22">
        <f t="shared" si="10"/>
        <v>0</v>
      </c>
    </row>
    <row r="23" spans="2:10" ht="15.75">
      <c r="B23" s="28" t="s">
        <v>205</v>
      </c>
      <c r="C23" s="19">
        <f t="shared" si="3"/>
        <v>12844352.149999999</v>
      </c>
      <c r="D23" s="23">
        <f>D21*0.175</f>
        <v>7980052.4999999991</v>
      </c>
      <c r="E23" s="23">
        <f t="shared" ref="E23:J23" si="13">E21*0.175</f>
        <v>1851044.65</v>
      </c>
      <c r="F23" s="23">
        <f t="shared" si="13"/>
        <v>1197962.5</v>
      </c>
      <c r="G23" s="23">
        <f t="shared" si="13"/>
        <v>656031.25</v>
      </c>
      <c r="H23" s="23">
        <f t="shared" si="13"/>
        <v>1159261.25</v>
      </c>
      <c r="I23" s="23">
        <f t="shared" si="13"/>
        <v>0</v>
      </c>
      <c r="J23" s="23">
        <f t="shared" si="13"/>
        <v>0</v>
      </c>
    </row>
    <row r="24" spans="2:10" ht="15.75">
      <c r="B24" s="28" t="s">
        <v>206</v>
      </c>
      <c r="C24" s="19">
        <f t="shared" si="3"/>
        <v>0</v>
      </c>
      <c r="D24" s="23"/>
      <c r="E24" s="23"/>
      <c r="F24" s="23"/>
      <c r="G24" s="23"/>
      <c r="H24" s="23"/>
      <c r="I24" s="23">
        <f t="shared" ref="I24" si="14">I10*1.18*0.14</f>
        <v>0</v>
      </c>
      <c r="J24" s="23">
        <f t="shared" ref="J24" si="15">J10*1.18*0.14</f>
        <v>0</v>
      </c>
    </row>
    <row r="25" spans="2:10" ht="15.75">
      <c r="B25" s="28" t="s">
        <v>207</v>
      </c>
      <c r="C25" s="19">
        <f t="shared" si="3"/>
        <v>115000</v>
      </c>
      <c r="D25" s="23">
        <v>65000</v>
      </c>
      <c r="E25" s="23">
        <f t="shared" ref="E25:I25" si="16">E10*0.15</f>
        <v>0</v>
      </c>
      <c r="F25" s="23">
        <f t="shared" si="16"/>
        <v>0</v>
      </c>
      <c r="G25" s="23">
        <f t="shared" si="16"/>
        <v>0</v>
      </c>
      <c r="H25" s="23">
        <v>50000</v>
      </c>
      <c r="I25" s="23">
        <f t="shared" si="16"/>
        <v>0</v>
      </c>
      <c r="J25" s="23">
        <f>J10*0.15</f>
        <v>0</v>
      </c>
    </row>
    <row r="26" spans="2:10" ht="15.75">
      <c r="B26" s="7" t="s">
        <v>20</v>
      </c>
      <c r="C26" s="19">
        <f t="shared" si="3"/>
        <v>21224204.724409446</v>
      </c>
      <c r="D26" s="22">
        <f>D27+D28+D31</f>
        <v>200000</v>
      </c>
      <c r="E26" s="22">
        <f t="shared" ref="E26:J26" si="17">E27+E28+E31</f>
        <v>528110.23622047249</v>
      </c>
      <c r="F26" s="22">
        <f t="shared" ref="F26" si="18">F27+F28+F31</f>
        <v>3730661.4173228345</v>
      </c>
      <c r="G26" s="22">
        <f t="shared" ref="G26" si="19">G27+G28+G31</f>
        <v>0</v>
      </c>
      <c r="H26" s="22">
        <f t="shared" si="17"/>
        <v>12200000</v>
      </c>
      <c r="I26" s="22">
        <f t="shared" si="17"/>
        <v>4565433.0708661415</v>
      </c>
      <c r="J26" s="22">
        <f t="shared" si="17"/>
        <v>0</v>
      </c>
    </row>
    <row r="27" spans="2:10" ht="15.75">
      <c r="B27" s="4" t="s">
        <v>21</v>
      </c>
      <c r="C27" s="19">
        <f t="shared" si="3"/>
        <v>0</v>
      </c>
      <c r="D27" s="23"/>
      <c r="E27" s="23"/>
      <c r="F27" s="23"/>
      <c r="G27" s="23"/>
      <c r="H27" s="23"/>
      <c r="I27" s="23"/>
      <c r="J27" s="23"/>
    </row>
    <row r="28" spans="2:10" s="54" customFormat="1" ht="15.75">
      <c r="B28" s="7" t="s">
        <v>221</v>
      </c>
      <c r="C28" s="19">
        <f t="shared" si="3"/>
        <v>21224204.724409446</v>
      </c>
      <c r="D28" s="22">
        <f>D29+D30</f>
        <v>200000</v>
      </c>
      <c r="E28" s="22">
        <f t="shared" ref="E28:J28" si="20">E29+E30</f>
        <v>528110.23622047249</v>
      </c>
      <c r="F28" s="22">
        <f t="shared" ref="F28" si="21">F29+F30</f>
        <v>3730661.4173228345</v>
      </c>
      <c r="G28" s="22">
        <f t="shared" ref="G28" si="22">G29+G30</f>
        <v>0</v>
      </c>
      <c r="H28" s="22">
        <f t="shared" si="20"/>
        <v>12200000</v>
      </c>
      <c r="I28" s="22">
        <f t="shared" si="20"/>
        <v>4565433.0708661415</v>
      </c>
      <c r="J28" s="22">
        <f t="shared" si="20"/>
        <v>0</v>
      </c>
    </row>
    <row r="29" spans="2:10" ht="15.75">
      <c r="B29" s="4" t="s">
        <v>220</v>
      </c>
      <c r="C29" s="19">
        <f t="shared" si="3"/>
        <v>19374204.724409446</v>
      </c>
      <c r="D29" s="23">
        <v>0</v>
      </c>
      <c r="E29" s="23">
        <f>(440*230*6)/1.27</f>
        <v>478110.23622047243</v>
      </c>
      <c r="F29" s="23">
        <f>(493*220*39)/1.27</f>
        <v>3330661.4173228345</v>
      </c>
      <c r="G29" s="23"/>
      <c r="H29" s="23">
        <v>11000000</v>
      </c>
      <c r="I29" s="23">
        <f>(44*525*251)/1.27</f>
        <v>4565433.0708661415</v>
      </c>
      <c r="J29" s="23"/>
    </row>
    <row r="30" spans="2:10" ht="31.5">
      <c r="B30" s="5" t="s">
        <v>317</v>
      </c>
      <c r="C30" s="19">
        <f t="shared" si="3"/>
        <v>1850000</v>
      </c>
      <c r="D30" s="23">
        <v>200000</v>
      </c>
      <c r="E30" s="23">
        <v>50000</v>
      </c>
      <c r="F30" s="23">
        <v>400000</v>
      </c>
      <c r="G30" s="23"/>
      <c r="H30" s="23">
        <v>1200000</v>
      </c>
      <c r="I30" s="23"/>
      <c r="J30" s="23"/>
    </row>
    <row r="31" spans="2:10" ht="15.75">
      <c r="B31" s="4" t="s">
        <v>22</v>
      </c>
      <c r="C31" s="19">
        <f t="shared" si="3"/>
        <v>0</v>
      </c>
      <c r="D31" s="23"/>
      <c r="E31" s="23"/>
      <c r="F31" s="23"/>
      <c r="G31" s="23"/>
      <c r="H31" s="23"/>
      <c r="I31" s="23"/>
      <c r="J31" s="23"/>
    </row>
    <row r="32" spans="2:10" ht="15.75">
      <c r="B32" s="7" t="s">
        <v>23</v>
      </c>
      <c r="C32" s="19">
        <f t="shared" si="3"/>
        <v>100000</v>
      </c>
      <c r="D32" s="22">
        <f t="shared" ref="D32:J32" si="23">D33+D34</f>
        <v>0</v>
      </c>
      <c r="E32" s="22">
        <f t="shared" si="23"/>
        <v>0</v>
      </c>
      <c r="F32" s="22">
        <f t="shared" ref="F32" si="24">F33+F34</f>
        <v>0</v>
      </c>
      <c r="G32" s="22">
        <f t="shared" ref="G32" si="25">G33+G34</f>
        <v>0</v>
      </c>
      <c r="H32" s="22">
        <f t="shared" si="23"/>
        <v>100000</v>
      </c>
      <c r="I32" s="22">
        <f t="shared" si="23"/>
        <v>0</v>
      </c>
      <c r="J32" s="22">
        <f t="shared" si="23"/>
        <v>0</v>
      </c>
    </row>
    <row r="33" spans="2:10" ht="15.75">
      <c r="B33" s="4" t="s">
        <v>24</v>
      </c>
      <c r="C33" s="19">
        <f t="shared" si="3"/>
        <v>0</v>
      </c>
      <c r="D33" s="23"/>
      <c r="E33" s="23"/>
      <c r="F33" s="23"/>
      <c r="G33" s="23"/>
      <c r="H33" s="23"/>
      <c r="I33" s="23"/>
      <c r="J33" s="23"/>
    </row>
    <row r="34" spans="2:10" ht="15.75">
      <c r="B34" s="4" t="s">
        <v>208</v>
      </c>
      <c r="C34" s="19">
        <f t="shared" si="3"/>
        <v>100000</v>
      </c>
      <c r="D34" s="23"/>
      <c r="E34" s="23"/>
      <c r="F34" s="23"/>
      <c r="G34" s="23"/>
      <c r="H34" s="23">
        <v>100000</v>
      </c>
      <c r="I34" s="23"/>
      <c r="J34" s="23"/>
    </row>
    <row r="35" spans="2:10" ht="15.75">
      <c r="B35" s="7" t="s">
        <v>25</v>
      </c>
      <c r="C35" s="19">
        <f t="shared" si="3"/>
        <v>10643826.771653544</v>
      </c>
      <c r="D35" s="22">
        <f t="shared" ref="D35:J35" si="26">D36+D40+D41+D42+D43+D44+D45</f>
        <v>0</v>
      </c>
      <c r="E35" s="22">
        <f t="shared" si="26"/>
        <v>0</v>
      </c>
      <c r="F35" s="22">
        <f t="shared" ref="F35" si="27">F36+F40+F41+F42+F43+F44+F45</f>
        <v>700000</v>
      </c>
      <c r="G35" s="22">
        <f t="shared" ref="G35" si="28">G36+G40+G41+G42+G43+G44+G45</f>
        <v>0</v>
      </c>
      <c r="H35" s="22">
        <f t="shared" si="26"/>
        <v>9043826.7716535442</v>
      </c>
      <c r="I35" s="22">
        <f t="shared" si="26"/>
        <v>900000</v>
      </c>
      <c r="J35" s="22">
        <f t="shared" si="26"/>
        <v>0</v>
      </c>
    </row>
    <row r="36" spans="2:10" ht="15.75">
      <c r="B36" s="7" t="s">
        <v>26</v>
      </c>
      <c r="C36" s="19">
        <f t="shared" si="3"/>
        <v>2600000</v>
      </c>
      <c r="D36" s="22">
        <f>D37+D38+D39</f>
        <v>0</v>
      </c>
      <c r="E36" s="22">
        <f t="shared" ref="E36:J36" si="29">E37+E38+E39</f>
        <v>0</v>
      </c>
      <c r="F36" s="22">
        <f t="shared" ref="F36" si="30">F37+F38+F39</f>
        <v>0</v>
      </c>
      <c r="G36" s="22">
        <f t="shared" ref="G36" si="31">G37+G38+G39</f>
        <v>0</v>
      </c>
      <c r="H36" s="22">
        <f t="shared" si="29"/>
        <v>2600000</v>
      </c>
      <c r="I36" s="22">
        <f t="shared" si="29"/>
        <v>0</v>
      </c>
      <c r="J36" s="22">
        <f t="shared" si="29"/>
        <v>0</v>
      </c>
    </row>
    <row r="37" spans="2:10" ht="15.75">
      <c r="B37" s="4" t="s">
        <v>223</v>
      </c>
      <c r="C37" s="19">
        <f t="shared" si="3"/>
        <v>400000</v>
      </c>
      <c r="D37" s="23"/>
      <c r="E37" s="23"/>
      <c r="F37" s="23"/>
      <c r="G37" s="23"/>
      <c r="H37" s="23">
        <v>400000</v>
      </c>
      <c r="I37" s="23"/>
      <c r="J37" s="23"/>
    </row>
    <row r="38" spans="2:10" ht="15.75">
      <c r="B38" s="4" t="s">
        <v>224</v>
      </c>
      <c r="C38" s="19">
        <f t="shared" si="3"/>
        <v>1200000</v>
      </c>
      <c r="D38" s="23"/>
      <c r="E38" s="23"/>
      <c r="F38" s="23"/>
      <c r="G38" s="23"/>
      <c r="H38" s="23">
        <v>1200000</v>
      </c>
      <c r="I38" s="23"/>
      <c r="J38" s="23"/>
    </row>
    <row r="39" spans="2:10" ht="15.75">
      <c r="B39" s="4" t="s">
        <v>409</v>
      </c>
      <c r="C39" s="19">
        <f t="shared" si="3"/>
        <v>1000000</v>
      </c>
      <c r="D39" s="23"/>
      <c r="E39" s="23"/>
      <c r="F39" s="23"/>
      <c r="G39" s="23"/>
      <c r="H39" s="23">
        <v>1000000</v>
      </c>
      <c r="I39" s="23"/>
      <c r="J39" s="23"/>
    </row>
    <row r="40" spans="2:10" ht="15.75">
      <c r="B40" s="4" t="s">
        <v>334</v>
      </c>
      <c r="C40" s="19">
        <f t="shared" si="3"/>
        <v>900000</v>
      </c>
      <c r="D40" s="23"/>
      <c r="E40" s="23"/>
      <c r="F40" s="23"/>
      <c r="G40" s="23"/>
      <c r="H40" s="23"/>
      <c r="I40" s="23">
        <v>900000</v>
      </c>
      <c r="J40" s="23"/>
    </row>
    <row r="41" spans="2:10" ht="15.75">
      <c r="B41" s="4" t="s">
        <v>28</v>
      </c>
      <c r="C41" s="19">
        <f t="shared" si="3"/>
        <v>0</v>
      </c>
      <c r="D41" s="23"/>
      <c r="E41" s="23"/>
      <c r="F41" s="23"/>
      <c r="G41" s="23"/>
      <c r="H41" s="23"/>
      <c r="I41" s="23"/>
      <c r="J41" s="23"/>
    </row>
    <row r="42" spans="2:10" ht="31.5">
      <c r="B42" s="5" t="s">
        <v>316</v>
      </c>
      <c r="C42" s="19">
        <f t="shared" si="3"/>
        <v>4385826.7716535432</v>
      </c>
      <c r="D42" s="23"/>
      <c r="E42" s="23"/>
      <c r="F42" s="23"/>
      <c r="G42" s="23"/>
      <c r="H42" s="101">
        <f>1000000+4300000/1.27</f>
        <v>4385826.7716535432</v>
      </c>
      <c r="I42" s="23"/>
      <c r="J42" s="23"/>
    </row>
    <row r="43" spans="2:10" ht="15.75">
      <c r="B43" s="4" t="s">
        <v>30</v>
      </c>
      <c r="C43" s="19">
        <f t="shared" si="3"/>
        <v>0</v>
      </c>
      <c r="D43" s="23"/>
      <c r="E43" s="23"/>
      <c r="F43" s="23"/>
      <c r="G43" s="23"/>
      <c r="H43" s="23"/>
      <c r="I43" s="23"/>
      <c r="J43" s="23"/>
    </row>
    <row r="44" spans="2:10" ht="31.5">
      <c r="B44" s="5" t="s">
        <v>348</v>
      </c>
      <c r="C44" s="19">
        <f t="shared" si="3"/>
        <v>1058000</v>
      </c>
      <c r="D44" s="23"/>
      <c r="E44" s="23"/>
      <c r="F44" s="23"/>
      <c r="G44" s="23"/>
      <c r="H44" s="23">
        <f>650000+288000+120000</f>
        <v>1058000</v>
      </c>
      <c r="I44" s="23"/>
      <c r="J44" s="23"/>
    </row>
    <row r="45" spans="2:10" ht="31.15" customHeight="1">
      <c r="B45" s="5" t="s">
        <v>349</v>
      </c>
      <c r="C45" s="19">
        <f t="shared" si="3"/>
        <v>1700000</v>
      </c>
      <c r="D45" s="24"/>
      <c r="E45" s="24"/>
      <c r="F45" s="24">
        <v>700000</v>
      </c>
      <c r="G45" s="24"/>
      <c r="H45" s="24">
        <v>1000000</v>
      </c>
      <c r="I45" s="24"/>
      <c r="J45" s="24"/>
    </row>
    <row r="46" spans="2:10" ht="15.75">
      <c r="B46" s="7" t="s">
        <v>32</v>
      </c>
      <c r="C46" s="19">
        <f t="shared" si="3"/>
        <v>0</v>
      </c>
      <c r="D46" s="22">
        <f t="shared" ref="D46:J46" si="32">D47+D48</f>
        <v>0</v>
      </c>
      <c r="E46" s="22">
        <f t="shared" si="32"/>
        <v>0</v>
      </c>
      <c r="F46" s="22">
        <f t="shared" ref="F46" si="33">F47+F48</f>
        <v>0</v>
      </c>
      <c r="G46" s="22">
        <f t="shared" ref="G46" si="34">G47+G48</f>
        <v>0</v>
      </c>
      <c r="H46" s="22">
        <f t="shared" si="32"/>
        <v>0</v>
      </c>
      <c r="I46" s="22">
        <f t="shared" si="32"/>
        <v>0</v>
      </c>
      <c r="J46" s="22">
        <f t="shared" si="32"/>
        <v>0</v>
      </c>
    </row>
    <row r="47" spans="2:10" ht="15.75">
      <c r="B47" s="4" t="s">
        <v>33</v>
      </c>
      <c r="C47" s="19">
        <f t="shared" si="3"/>
        <v>0</v>
      </c>
      <c r="D47" s="23"/>
      <c r="E47" s="23"/>
      <c r="F47" s="23"/>
      <c r="G47" s="23"/>
      <c r="H47" s="23"/>
      <c r="I47" s="23"/>
      <c r="J47" s="23"/>
    </row>
    <row r="48" spans="2:10" ht="15.75">
      <c r="B48" s="4" t="s">
        <v>34</v>
      </c>
      <c r="C48" s="19">
        <f t="shared" si="3"/>
        <v>0</v>
      </c>
      <c r="D48" s="23"/>
      <c r="E48" s="23"/>
      <c r="F48" s="23"/>
      <c r="G48" s="23"/>
      <c r="H48" s="23"/>
      <c r="I48" s="23"/>
      <c r="J48" s="23"/>
    </row>
    <row r="49" spans="2:10" ht="15.75">
      <c r="B49" s="7" t="s">
        <v>35</v>
      </c>
      <c r="C49" s="19">
        <f t="shared" si="3"/>
        <v>11230605.469291341</v>
      </c>
      <c r="D49" s="22">
        <f>D50+D52+D53+D54+D55+D51</f>
        <v>54000</v>
      </c>
      <c r="E49" s="22">
        <f>E50+E52+E53+E54+E55+E51</f>
        <v>320033.76377952762</v>
      </c>
      <c r="F49" s="22">
        <f t="shared" ref="F49:J49" si="35">F50+F52+F53+F54+F55+F51</f>
        <v>1506414.4015748035</v>
      </c>
      <c r="G49" s="22">
        <f t="shared" si="35"/>
        <v>0</v>
      </c>
      <c r="H49" s="22">
        <f t="shared" si="35"/>
        <v>6907833.2283464577</v>
      </c>
      <c r="I49" s="22">
        <f t="shared" si="35"/>
        <v>2442324.0755905514</v>
      </c>
      <c r="J49" s="22">
        <f t="shared" si="35"/>
        <v>0</v>
      </c>
    </row>
    <row r="50" spans="2:10" ht="15.75">
      <c r="B50" s="95" t="s">
        <v>36</v>
      </c>
      <c r="C50" s="19">
        <f t="shared" si="3"/>
        <v>3157333.2283464572</v>
      </c>
      <c r="D50" s="24">
        <f>(D35+D32+D26-D29)*0.27</f>
        <v>54000</v>
      </c>
      <c r="E50" s="24">
        <f>(E35+E32+E26-E29)*0.27</f>
        <v>13500.000000000016</v>
      </c>
      <c r="F50" s="24">
        <f>(F35+F32+F26-F29)*0.27</f>
        <v>297000.00000000012</v>
      </c>
      <c r="G50" s="24">
        <f t="shared" ref="G50" si="36">(G35+G32+G26)*0.27</f>
        <v>0</v>
      </c>
      <c r="H50" s="24">
        <f>(H35+H32+H26-H29)*0.27</f>
        <v>2792833.2283464572</v>
      </c>
      <c r="I50" s="24"/>
      <c r="J50" s="24">
        <f t="shared" ref="J50" si="37">(J35+J32+J26)*0.27</f>
        <v>0</v>
      </c>
    </row>
    <row r="51" spans="2:10" ht="15.75">
      <c r="B51" s="95" t="s">
        <v>304</v>
      </c>
      <c r="C51" s="19">
        <f t="shared" ref="C51" si="38">SUM(D51:J51)</f>
        <v>5784535.275590552</v>
      </c>
      <c r="D51" s="24"/>
      <c r="E51" s="24">
        <f>(E35+E32+E26)*0.27</f>
        <v>142589.7637795276</v>
      </c>
      <c r="F51" s="24">
        <f>(F35+F32+F26)*0.27</f>
        <v>1196278.5826771655</v>
      </c>
      <c r="G51" s="24">
        <f t="shared" ref="G51" si="39">(G35+G32+G26)*0.27</f>
        <v>0</v>
      </c>
      <c r="H51" s="24">
        <f>H29*0.27</f>
        <v>2970000</v>
      </c>
      <c r="I51" s="24">
        <f t="shared" ref="I51:J51" si="40">(I35+I32+I26)*0.27</f>
        <v>1475666.9291338583</v>
      </c>
      <c r="J51" s="24">
        <f t="shared" si="40"/>
        <v>0</v>
      </c>
    </row>
    <row r="52" spans="2:10" ht="15.75">
      <c r="B52" s="4" t="s">
        <v>37</v>
      </c>
      <c r="C52" s="19">
        <f t="shared" si="3"/>
        <v>2088736.9653543313</v>
      </c>
      <c r="D52" s="23">
        <f t="shared" ref="D52" si="41">D161-D51</f>
        <v>0</v>
      </c>
      <c r="E52" s="100">
        <f>6*440*230*0.27</f>
        <v>163944</v>
      </c>
      <c r="F52" s="100">
        <f>F161-F51+35*220*493*0.27</f>
        <v>13135.818897637771</v>
      </c>
      <c r="G52" s="23"/>
      <c r="H52" s="100">
        <f>H161-H51</f>
        <v>945000.00000000047</v>
      </c>
      <c r="I52" s="100">
        <f>I161-I51+44*260*251*0.27</f>
        <v>966657.14645669307</v>
      </c>
      <c r="J52" s="23"/>
    </row>
    <row r="53" spans="2:10" ht="15.75">
      <c r="B53" s="4" t="s">
        <v>38</v>
      </c>
      <c r="C53" s="19">
        <f t="shared" si="3"/>
        <v>0</v>
      </c>
      <c r="D53" s="23"/>
      <c r="E53" s="23"/>
      <c r="F53" s="23"/>
      <c r="G53" s="23"/>
      <c r="H53" s="23"/>
      <c r="I53" s="23"/>
      <c r="J53" s="23"/>
    </row>
    <row r="54" spans="2:10" ht="15.75">
      <c r="B54" s="4" t="s">
        <v>39</v>
      </c>
      <c r="C54" s="19">
        <f t="shared" si="3"/>
        <v>0</v>
      </c>
      <c r="D54" s="23"/>
      <c r="E54" s="23"/>
      <c r="F54" s="23"/>
      <c r="G54" s="23"/>
      <c r="H54" s="23"/>
      <c r="I54" s="23"/>
      <c r="J54" s="23"/>
    </row>
    <row r="55" spans="2:10" ht="15.75">
      <c r="B55" s="4" t="s">
        <v>210</v>
      </c>
      <c r="C55" s="19">
        <f t="shared" si="3"/>
        <v>200000</v>
      </c>
      <c r="D55" s="23"/>
      <c r="E55" s="23"/>
      <c r="F55" s="23"/>
      <c r="G55" s="23"/>
      <c r="H55" s="23">
        <v>200000</v>
      </c>
      <c r="I55" s="23"/>
      <c r="J55" s="23"/>
    </row>
    <row r="56" spans="2:10" ht="15.75">
      <c r="B56" s="6" t="s">
        <v>40</v>
      </c>
      <c r="C56" s="19">
        <f t="shared" si="3"/>
        <v>43198636.965354323</v>
      </c>
      <c r="D56" s="22">
        <f>D26+D32+D35+D46+D49</f>
        <v>254000</v>
      </c>
      <c r="E56" s="22">
        <f t="shared" ref="E56:J56" si="42">E26+E32+E35+E46+E49</f>
        <v>848144.00000000012</v>
      </c>
      <c r="F56" s="22">
        <f t="shared" ref="F56" si="43">F26+F32+F35+F46+F49</f>
        <v>5937075.8188976385</v>
      </c>
      <c r="G56" s="22">
        <f t="shared" ref="G56" si="44">G26+G32+G35+G46+G49</f>
        <v>0</v>
      </c>
      <c r="H56" s="22">
        <f t="shared" si="42"/>
        <v>28251660</v>
      </c>
      <c r="I56" s="22">
        <f t="shared" si="42"/>
        <v>7907757.1464566924</v>
      </c>
      <c r="J56" s="22">
        <f t="shared" si="42"/>
        <v>0</v>
      </c>
    </row>
    <row r="57" spans="2:10" ht="15.75">
      <c r="B57" s="4" t="s">
        <v>41</v>
      </c>
      <c r="C57" s="19">
        <f t="shared" si="3"/>
        <v>0</v>
      </c>
      <c r="D57" s="23"/>
      <c r="E57" s="23"/>
      <c r="F57" s="23"/>
      <c r="G57" s="23"/>
      <c r="H57" s="23"/>
      <c r="I57" s="23"/>
      <c r="J57" s="23"/>
    </row>
    <row r="58" spans="2:10" ht="15.75">
      <c r="B58" s="4" t="s">
        <v>42</v>
      </c>
      <c r="C58" s="19">
        <f t="shared" si="3"/>
        <v>0</v>
      </c>
      <c r="D58" s="23"/>
      <c r="E58" s="23"/>
      <c r="F58" s="23"/>
      <c r="G58" s="23"/>
      <c r="H58" s="23"/>
      <c r="I58" s="23"/>
      <c r="J58" s="23"/>
    </row>
    <row r="59" spans="2:10" ht="15.75">
      <c r="B59" s="9" t="s">
        <v>43</v>
      </c>
      <c r="C59" s="19">
        <f t="shared" si="3"/>
        <v>0</v>
      </c>
      <c r="D59" s="23"/>
      <c r="E59" s="23"/>
      <c r="F59" s="23"/>
      <c r="G59" s="23"/>
      <c r="H59" s="23"/>
      <c r="I59" s="23"/>
      <c r="J59" s="23"/>
    </row>
    <row r="60" spans="2:10" ht="15.75">
      <c r="B60" s="4" t="s">
        <v>44</v>
      </c>
      <c r="C60" s="19">
        <f t="shared" si="3"/>
        <v>0</v>
      </c>
      <c r="D60" s="23"/>
      <c r="E60" s="23"/>
      <c r="F60" s="23"/>
      <c r="G60" s="23"/>
      <c r="H60" s="23"/>
      <c r="I60" s="23"/>
      <c r="J60" s="23"/>
    </row>
    <row r="61" spans="2:10" ht="15.75">
      <c r="B61" s="4" t="s">
        <v>45</v>
      </c>
      <c r="C61" s="19">
        <f t="shared" si="3"/>
        <v>0</v>
      </c>
      <c r="D61" s="23"/>
      <c r="E61" s="23"/>
      <c r="F61" s="23"/>
      <c r="G61" s="23"/>
      <c r="H61" s="23"/>
      <c r="I61" s="23"/>
      <c r="J61" s="23"/>
    </row>
    <row r="62" spans="2:10" ht="15.75">
      <c r="B62" s="4" t="s">
        <v>46</v>
      </c>
      <c r="C62" s="19">
        <f t="shared" si="3"/>
        <v>0</v>
      </c>
      <c r="D62" s="23"/>
      <c r="E62" s="23"/>
      <c r="F62" s="23"/>
      <c r="G62" s="23"/>
      <c r="H62" s="23"/>
      <c r="I62" s="23"/>
      <c r="J62" s="23"/>
    </row>
    <row r="63" spans="2:10" ht="15.75">
      <c r="B63" s="4" t="s">
        <v>47</v>
      </c>
      <c r="C63" s="19">
        <f t="shared" si="3"/>
        <v>0</v>
      </c>
      <c r="D63" s="23"/>
      <c r="E63" s="23"/>
      <c r="F63" s="23"/>
      <c r="G63" s="23"/>
      <c r="H63" s="23"/>
      <c r="I63" s="23"/>
      <c r="J63" s="23"/>
    </row>
    <row r="64" spans="2:10" ht="15.75">
      <c r="B64" s="4" t="s">
        <v>48</v>
      </c>
      <c r="C64" s="19">
        <f t="shared" si="3"/>
        <v>0</v>
      </c>
      <c r="D64" s="23"/>
      <c r="E64" s="23"/>
      <c r="F64" s="23"/>
      <c r="G64" s="23"/>
      <c r="H64" s="23"/>
      <c r="I64" s="23"/>
      <c r="J64" s="23"/>
    </row>
    <row r="65" spans="2:10" ht="15.75">
      <c r="B65" s="6" t="s">
        <v>49</v>
      </c>
      <c r="C65" s="19">
        <f t="shared" si="3"/>
        <v>0</v>
      </c>
      <c r="D65" s="22">
        <f t="shared" ref="D65:J65" si="45">SUM(D57:D64)</f>
        <v>0</v>
      </c>
      <c r="E65" s="22">
        <f t="shared" si="45"/>
        <v>0</v>
      </c>
      <c r="F65" s="22">
        <f t="shared" ref="F65" si="46">SUM(F57:F64)</f>
        <v>0</v>
      </c>
      <c r="G65" s="22">
        <f t="shared" ref="G65" si="47">SUM(G57:G64)</f>
        <v>0</v>
      </c>
      <c r="H65" s="22">
        <f t="shared" si="45"/>
        <v>0</v>
      </c>
      <c r="I65" s="22">
        <f t="shared" si="45"/>
        <v>0</v>
      </c>
      <c r="J65" s="22">
        <f t="shared" si="45"/>
        <v>0</v>
      </c>
    </row>
    <row r="66" spans="2:10" ht="15.75">
      <c r="B66" s="4" t="s">
        <v>50</v>
      </c>
      <c r="C66" s="19">
        <f t="shared" si="3"/>
        <v>0</v>
      </c>
      <c r="D66" s="23"/>
      <c r="E66" s="23"/>
      <c r="F66" s="23"/>
      <c r="G66" s="23"/>
      <c r="H66" s="23"/>
      <c r="I66" s="23"/>
      <c r="J66" s="23"/>
    </row>
    <row r="67" spans="2:10" ht="15.75">
      <c r="B67" s="4" t="s">
        <v>51</v>
      </c>
      <c r="C67" s="19">
        <f t="shared" si="3"/>
        <v>0</v>
      </c>
      <c r="D67" s="23"/>
      <c r="E67" s="23"/>
      <c r="F67" s="23"/>
      <c r="G67" s="23"/>
      <c r="H67" s="23"/>
      <c r="I67" s="23"/>
      <c r="J67" s="23"/>
    </row>
    <row r="68" spans="2:10" ht="15.75">
      <c r="B68" s="4" t="s">
        <v>52</v>
      </c>
      <c r="C68" s="19">
        <f t="shared" si="3"/>
        <v>0</v>
      </c>
      <c r="D68" s="23"/>
      <c r="E68" s="23"/>
      <c r="F68" s="23"/>
      <c r="G68" s="23"/>
      <c r="H68" s="23"/>
      <c r="I68" s="23"/>
      <c r="J68" s="23"/>
    </row>
    <row r="69" spans="2:10" ht="15.75">
      <c r="B69" s="4" t="s">
        <v>53</v>
      </c>
      <c r="C69" s="19">
        <f t="shared" si="3"/>
        <v>0</v>
      </c>
      <c r="D69" s="23"/>
      <c r="E69" s="23"/>
      <c r="F69" s="23"/>
      <c r="G69" s="23"/>
      <c r="H69" s="23"/>
      <c r="I69" s="23"/>
      <c r="J69" s="23"/>
    </row>
    <row r="70" spans="2:10" ht="15.75">
      <c r="B70" s="4" t="s">
        <v>54</v>
      </c>
      <c r="C70" s="19">
        <f t="shared" si="3"/>
        <v>0</v>
      </c>
      <c r="D70" s="23"/>
      <c r="E70" s="23"/>
      <c r="F70" s="23"/>
      <c r="G70" s="23"/>
      <c r="H70" s="23"/>
      <c r="I70" s="23"/>
      <c r="J70" s="23"/>
    </row>
    <row r="71" spans="2:10" ht="15.75">
      <c r="B71" s="4" t="s">
        <v>55</v>
      </c>
      <c r="C71" s="19">
        <f t="shared" ref="C71:C133" si="48">SUM(D71:J71)</f>
        <v>0</v>
      </c>
      <c r="D71" s="23"/>
      <c r="E71" s="23"/>
      <c r="F71" s="23"/>
      <c r="G71" s="23"/>
      <c r="H71" s="23"/>
      <c r="I71" s="23"/>
      <c r="J71" s="23"/>
    </row>
    <row r="72" spans="2:10" ht="15.75">
      <c r="B72" s="4" t="s">
        <v>56</v>
      </c>
      <c r="C72" s="19">
        <f t="shared" si="48"/>
        <v>0</v>
      </c>
      <c r="D72" s="23"/>
      <c r="E72" s="23"/>
      <c r="F72" s="23"/>
      <c r="G72" s="23"/>
      <c r="H72" s="23"/>
      <c r="I72" s="23"/>
      <c r="J72" s="23"/>
    </row>
    <row r="73" spans="2:10" ht="15.75">
      <c r="B73" s="4" t="s">
        <v>57</v>
      </c>
      <c r="C73" s="19">
        <f t="shared" si="48"/>
        <v>0</v>
      </c>
      <c r="D73" s="23"/>
      <c r="E73" s="23"/>
      <c r="F73" s="23"/>
      <c r="G73" s="23"/>
      <c r="H73" s="23"/>
      <c r="I73" s="23"/>
      <c r="J73" s="23"/>
    </row>
    <row r="74" spans="2:10" ht="15.75">
      <c r="B74" s="4" t="s">
        <v>58</v>
      </c>
      <c r="C74" s="19">
        <f t="shared" si="48"/>
        <v>0</v>
      </c>
      <c r="D74" s="23"/>
      <c r="E74" s="23"/>
      <c r="F74" s="23"/>
      <c r="G74" s="23"/>
      <c r="H74" s="23"/>
      <c r="I74" s="23"/>
      <c r="J74" s="23"/>
    </row>
    <row r="75" spans="2:10" ht="15.75">
      <c r="B75" s="4" t="s">
        <v>59</v>
      </c>
      <c r="C75" s="19">
        <f t="shared" si="48"/>
        <v>0</v>
      </c>
      <c r="D75" s="23"/>
      <c r="E75" s="23"/>
      <c r="F75" s="23"/>
      <c r="G75" s="23"/>
      <c r="H75" s="23"/>
      <c r="I75" s="23"/>
      <c r="J75" s="23"/>
    </row>
    <row r="76" spans="2:10" ht="15.75">
      <c r="B76" s="4" t="s">
        <v>60</v>
      </c>
      <c r="C76" s="19">
        <f t="shared" si="48"/>
        <v>0</v>
      </c>
      <c r="D76" s="23"/>
      <c r="E76" s="23"/>
      <c r="F76" s="23"/>
      <c r="G76" s="23"/>
      <c r="H76" s="23"/>
      <c r="I76" s="23"/>
      <c r="J76" s="23"/>
    </row>
    <row r="77" spans="2:10" ht="15.75">
      <c r="B77" s="4" t="s">
        <v>61</v>
      </c>
      <c r="C77" s="19">
        <f t="shared" si="48"/>
        <v>0</v>
      </c>
      <c r="D77" s="23"/>
      <c r="E77" s="23"/>
      <c r="F77" s="23"/>
      <c r="G77" s="23"/>
      <c r="H77" s="23"/>
      <c r="I77" s="23"/>
      <c r="J77" s="23"/>
    </row>
    <row r="78" spans="2:10" ht="15.75">
      <c r="B78" s="4" t="s">
        <v>62</v>
      </c>
      <c r="C78" s="19">
        <f t="shared" si="48"/>
        <v>0</v>
      </c>
      <c r="D78" s="23"/>
      <c r="E78" s="23"/>
      <c r="F78" s="23"/>
      <c r="G78" s="23"/>
      <c r="H78" s="23"/>
      <c r="I78" s="23"/>
      <c r="J78" s="23"/>
    </row>
    <row r="79" spans="2:10" ht="15.75">
      <c r="B79" s="6" t="s">
        <v>63</v>
      </c>
      <c r="C79" s="19">
        <f t="shared" si="48"/>
        <v>0</v>
      </c>
      <c r="D79" s="22">
        <f t="shared" ref="D79:J79" si="49">SUM(D66:D78)</f>
        <v>0</v>
      </c>
      <c r="E79" s="22">
        <f t="shared" si="49"/>
        <v>0</v>
      </c>
      <c r="F79" s="22">
        <f t="shared" ref="F79" si="50">SUM(F66:F78)</f>
        <v>0</v>
      </c>
      <c r="G79" s="22">
        <f t="shared" ref="G79" si="51">SUM(G66:G78)</f>
        <v>0</v>
      </c>
      <c r="H79" s="22">
        <f t="shared" si="49"/>
        <v>0</v>
      </c>
      <c r="I79" s="22">
        <f t="shared" si="49"/>
        <v>0</v>
      </c>
      <c r="J79" s="22">
        <f t="shared" si="49"/>
        <v>0</v>
      </c>
    </row>
    <row r="80" spans="2:10" ht="15.75">
      <c r="B80" s="10" t="s">
        <v>64</v>
      </c>
      <c r="C80" s="19">
        <f t="shared" si="48"/>
        <v>129554287.11535433</v>
      </c>
      <c r="D80" s="22">
        <f>D21+D22+D56+D65+D79</f>
        <v>53899352.5</v>
      </c>
      <c r="E80" s="22">
        <f t="shared" ref="E80:J80" si="52">E21+E22+E56+E65+E79</f>
        <v>13276586.65</v>
      </c>
      <c r="F80" s="22">
        <f t="shared" ref="F80" si="53">F21+F22+F56+F65+F79</f>
        <v>13980538.318897638</v>
      </c>
      <c r="G80" s="22">
        <f t="shared" ref="G80" si="54">G21+G22+G56+G65+G79</f>
        <v>4404781.25</v>
      </c>
      <c r="H80" s="22">
        <f t="shared" si="52"/>
        <v>36085271.25</v>
      </c>
      <c r="I80" s="22">
        <f t="shared" si="52"/>
        <v>7907757.1464566924</v>
      </c>
      <c r="J80" s="22">
        <f t="shared" si="52"/>
        <v>0</v>
      </c>
    </row>
    <row r="81" spans="2:10" ht="15.75">
      <c r="B81" s="4" t="s">
        <v>65</v>
      </c>
      <c r="C81" s="19">
        <f t="shared" si="48"/>
        <v>0</v>
      </c>
      <c r="D81" s="23"/>
      <c r="E81" s="23"/>
      <c r="F81" s="23"/>
      <c r="G81" s="23"/>
      <c r="H81" s="23"/>
      <c r="I81" s="23"/>
      <c r="J81" s="23"/>
    </row>
    <row r="82" spans="2:10" ht="15.75">
      <c r="B82" s="4" t="s">
        <v>66</v>
      </c>
      <c r="C82" s="19">
        <f t="shared" si="48"/>
        <v>0</v>
      </c>
      <c r="D82" s="23"/>
      <c r="E82" s="23"/>
      <c r="F82" s="23"/>
      <c r="G82" s="23"/>
      <c r="H82" s="23"/>
      <c r="I82" s="23"/>
      <c r="J82" s="23"/>
    </row>
    <row r="83" spans="2:10" ht="15.75">
      <c r="B83" s="4" t="s">
        <v>352</v>
      </c>
      <c r="C83" s="19">
        <f t="shared" si="48"/>
        <v>314960.62992125982</v>
      </c>
      <c r="D83" s="23"/>
      <c r="E83" s="23"/>
      <c r="F83" s="23"/>
      <c r="G83" s="23"/>
      <c r="H83" s="23">
        <f>300000/1.27+100000/1.27</f>
        <v>314960.62992125982</v>
      </c>
      <c r="I83" s="23"/>
      <c r="J83" s="23"/>
    </row>
    <row r="84" spans="2:10" ht="15.75">
      <c r="B84" s="4" t="s">
        <v>68</v>
      </c>
      <c r="C84" s="19">
        <f t="shared" si="48"/>
        <v>0</v>
      </c>
      <c r="D84" s="23"/>
      <c r="E84" s="23"/>
      <c r="F84" s="23"/>
      <c r="G84" s="23"/>
      <c r="H84" s="23"/>
      <c r="I84" s="23"/>
      <c r="J84" s="23"/>
    </row>
    <row r="85" spans="2:10" ht="15.75">
      <c r="B85" s="4" t="s">
        <v>69</v>
      </c>
      <c r="C85" s="19">
        <f t="shared" si="48"/>
        <v>0</v>
      </c>
      <c r="D85" s="23"/>
      <c r="E85" s="23"/>
      <c r="F85" s="23"/>
      <c r="G85" s="23"/>
      <c r="H85" s="23"/>
      <c r="I85" s="23"/>
      <c r="J85" s="23"/>
    </row>
    <row r="86" spans="2:10" ht="15.75">
      <c r="B86" s="4" t="s">
        <v>70</v>
      </c>
      <c r="C86" s="19">
        <f t="shared" si="48"/>
        <v>0</v>
      </c>
      <c r="D86" s="23"/>
      <c r="E86" s="23"/>
      <c r="F86" s="23"/>
      <c r="G86" s="23"/>
      <c r="H86" s="23"/>
      <c r="I86" s="23"/>
      <c r="J86" s="23"/>
    </row>
    <row r="87" spans="2:10" ht="15.75">
      <c r="B87" s="4" t="s">
        <v>71</v>
      </c>
      <c r="C87" s="19">
        <f t="shared" si="48"/>
        <v>85039.370078740161</v>
      </c>
      <c r="D87" s="23"/>
      <c r="E87" s="23"/>
      <c r="F87" s="23"/>
      <c r="G87" s="23"/>
      <c r="H87" s="23">
        <f>H83*0.27</f>
        <v>85039.370078740161</v>
      </c>
      <c r="I87" s="23"/>
      <c r="J87" s="23"/>
    </row>
    <row r="88" spans="2:10" ht="15.75">
      <c r="B88" s="6" t="s">
        <v>72</v>
      </c>
      <c r="C88" s="19">
        <f t="shared" si="48"/>
        <v>400000</v>
      </c>
      <c r="D88" s="22">
        <f t="shared" ref="D88:J88" si="55">SUM(D81:D87)</f>
        <v>0</v>
      </c>
      <c r="E88" s="22">
        <f t="shared" si="55"/>
        <v>0</v>
      </c>
      <c r="F88" s="22">
        <f t="shared" ref="F88" si="56">SUM(F81:F87)</f>
        <v>0</v>
      </c>
      <c r="G88" s="22">
        <f t="shared" ref="G88" si="57">SUM(G81:G87)</f>
        <v>0</v>
      </c>
      <c r="H88" s="22">
        <f t="shared" si="55"/>
        <v>400000</v>
      </c>
      <c r="I88" s="22">
        <f t="shared" si="55"/>
        <v>0</v>
      </c>
      <c r="J88" s="22">
        <f t="shared" si="55"/>
        <v>0</v>
      </c>
    </row>
    <row r="89" spans="2:10" ht="15.75">
      <c r="B89" s="4" t="s">
        <v>73</v>
      </c>
      <c r="C89" s="19">
        <f t="shared" si="48"/>
        <v>0</v>
      </c>
      <c r="D89" s="23"/>
      <c r="E89" s="23"/>
      <c r="F89" s="23"/>
      <c r="G89" s="23"/>
      <c r="H89" s="23"/>
      <c r="I89" s="23"/>
      <c r="J89" s="23"/>
    </row>
    <row r="90" spans="2:10" ht="15.75">
      <c r="B90" s="4" t="s">
        <v>74</v>
      </c>
      <c r="C90" s="19">
        <f t="shared" si="48"/>
        <v>0</v>
      </c>
      <c r="D90" s="23"/>
      <c r="E90" s="23"/>
      <c r="F90" s="23"/>
      <c r="G90" s="23"/>
      <c r="H90" s="23"/>
      <c r="I90" s="23"/>
      <c r="J90" s="23"/>
    </row>
    <row r="91" spans="2:10" ht="15.75">
      <c r="B91" s="4" t="s">
        <v>75</v>
      </c>
      <c r="C91" s="19">
        <f t="shared" si="48"/>
        <v>0</v>
      </c>
      <c r="D91" s="23"/>
      <c r="E91" s="23"/>
      <c r="F91" s="23"/>
      <c r="G91" s="23"/>
      <c r="H91" s="23"/>
      <c r="I91" s="23"/>
      <c r="J91" s="23"/>
    </row>
    <row r="92" spans="2:10" ht="15.75">
      <c r="B92" s="4" t="s">
        <v>76</v>
      </c>
      <c r="C92" s="19">
        <f t="shared" si="48"/>
        <v>0</v>
      </c>
      <c r="D92" s="23"/>
      <c r="E92" s="23"/>
      <c r="F92" s="23"/>
      <c r="G92" s="23"/>
      <c r="H92" s="23"/>
      <c r="I92" s="23"/>
      <c r="J92" s="23"/>
    </row>
    <row r="93" spans="2:10" ht="15.75">
      <c r="B93" s="6" t="s">
        <v>77</v>
      </c>
      <c r="C93" s="19">
        <f t="shared" si="48"/>
        <v>0</v>
      </c>
      <c r="D93" s="22">
        <f t="shared" ref="D93:J93" si="58">SUM(D89:D92)</f>
        <v>0</v>
      </c>
      <c r="E93" s="22">
        <f t="shared" si="58"/>
        <v>0</v>
      </c>
      <c r="F93" s="22">
        <f t="shared" ref="F93" si="59">SUM(F89:F92)</f>
        <v>0</v>
      </c>
      <c r="G93" s="22">
        <f t="shared" ref="G93" si="60">SUM(G89:G92)</f>
        <v>0</v>
      </c>
      <c r="H93" s="22">
        <f t="shared" si="58"/>
        <v>0</v>
      </c>
      <c r="I93" s="22">
        <f t="shared" si="58"/>
        <v>0</v>
      </c>
      <c r="J93" s="22">
        <f t="shared" si="58"/>
        <v>0</v>
      </c>
    </row>
    <row r="94" spans="2:10" ht="15.75">
      <c r="B94" s="4" t="s">
        <v>78</v>
      </c>
      <c r="C94" s="19">
        <f t="shared" si="48"/>
        <v>0</v>
      </c>
      <c r="D94" s="23"/>
      <c r="E94" s="23"/>
      <c r="F94" s="23"/>
      <c r="G94" s="23"/>
      <c r="H94" s="23"/>
      <c r="I94" s="23"/>
      <c r="J94" s="23"/>
    </row>
    <row r="95" spans="2:10" ht="15.75">
      <c r="B95" s="4" t="s">
        <v>79</v>
      </c>
      <c r="C95" s="19">
        <f t="shared" si="48"/>
        <v>0</v>
      </c>
      <c r="D95" s="23"/>
      <c r="E95" s="23"/>
      <c r="F95" s="23"/>
      <c r="G95" s="23"/>
      <c r="H95" s="23"/>
      <c r="I95" s="23"/>
      <c r="J95" s="23"/>
    </row>
    <row r="96" spans="2:10" ht="15.75">
      <c r="B96" s="4" t="s">
        <v>80</v>
      </c>
      <c r="C96" s="19">
        <f t="shared" si="48"/>
        <v>0</v>
      </c>
      <c r="D96" s="23"/>
      <c r="E96" s="23"/>
      <c r="F96" s="23"/>
      <c r="G96" s="23"/>
      <c r="H96" s="23"/>
      <c r="I96" s="23"/>
      <c r="J96" s="23"/>
    </row>
    <row r="97" spans="2:10" ht="15.75">
      <c r="B97" s="4" t="s">
        <v>81</v>
      </c>
      <c r="C97" s="19">
        <f t="shared" si="48"/>
        <v>0</v>
      </c>
      <c r="D97" s="23"/>
      <c r="E97" s="23"/>
      <c r="F97" s="23"/>
      <c r="G97" s="23"/>
      <c r="H97" s="23"/>
      <c r="I97" s="23"/>
      <c r="J97" s="23"/>
    </row>
    <row r="98" spans="2:10" ht="15.75">
      <c r="B98" s="4" t="s">
        <v>82</v>
      </c>
      <c r="C98" s="19">
        <f t="shared" si="48"/>
        <v>0</v>
      </c>
      <c r="D98" s="23"/>
      <c r="E98" s="23"/>
      <c r="F98" s="23"/>
      <c r="G98" s="23"/>
      <c r="H98" s="23"/>
      <c r="I98" s="23"/>
      <c r="J98" s="23"/>
    </row>
    <row r="99" spans="2:10" ht="15.75">
      <c r="B99" s="4" t="s">
        <v>83</v>
      </c>
      <c r="C99" s="19">
        <f t="shared" si="48"/>
        <v>0</v>
      </c>
      <c r="D99" s="23"/>
      <c r="E99" s="23"/>
      <c r="F99" s="23"/>
      <c r="G99" s="23"/>
      <c r="H99" s="23"/>
      <c r="I99" s="23"/>
      <c r="J99" s="23"/>
    </row>
    <row r="100" spans="2:10" ht="15.75">
      <c r="B100" s="4" t="s">
        <v>84</v>
      </c>
      <c r="C100" s="19">
        <f t="shared" si="48"/>
        <v>0</v>
      </c>
      <c r="D100" s="23"/>
      <c r="E100" s="23"/>
      <c r="F100" s="23"/>
      <c r="G100" s="23"/>
      <c r="H100" s="23"/>
      <c r="I100" s="23"/>
      <c r="J100" s="23"/>
    </row>
    <row r="101" spans="2:10" ht="15.75">
      <c r="B101" s="4" t="s">
        <v>85</v>
      </c>
      <c r="C101" s="19">
        <f t="shared" si="48"/>
        <v>0</v>
      </c>
      <c r="D101" s="23"/>
      <c r="E101" s="23"/>
      <c r="F101" s="23"/>
      <c r="G101" s="23"/>
      <c r="H101" s="23"/>
      <c r="I101" s="23"/>
      <c r="J101" s="23"/>
    </row>
    <row r="102" spans="2:10" ht="15.75">
      <c r="B102" s="6" t="s">
        <v>86</v>
      </c>
      <c r="C102" s="19">
        <f t="shared" si="48"/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</row>
    <row r="103" spans="2:10" ht="15.75">
      <c r="B103" s="10" t="s">
        <v>87</v>
      </c>
      <c r="C103" s="19">
        <f t="shared" si="48"/>
        <v>400000</v>
      </c>
      <c r="D103" s="22">
        <f t="shared" ref="D103:J103" si="61">D88+D93+D102</f>
        <v>0</v>
      </c>
      <c r="E103" s="22">
        <f t="shared" si="61"/>
        <v>0</v>
      </c>
      <c r="F103" s="22">
        <f t="shared" ref="F103" si="62">F88+F93+F102</f>
        <v>0</v>
      </c>
      <c r="G103" s="22">
        <f t="shared" ref="G103" si="63">G88+G93+G102</f>
        <v>0</v>
      </c>
      <c r="H103" s="22">
        <f t="shared" si="61"/>
        <v>400000</v>
      </c>
      <c r="I103" s="22">
        <f t="shared" si="61"/>
        <v>0</v>
      </c>
      <c r="J103" s="22">
        <f t="shared" si="61"/>
        <v>0</v>
      </c>
    </row>
    <row r="104" spans="2:10" ht="18.75">
      <c r="B104" s="11" t="s">
        <v>88</v>
      </c>
      <c r="C104" s="19">
        <f t="shared" si="48"/>
        <v>129954287.11535433</v>
      </c>
      <c r="D104" s="25">
        <f>D21+D22+D56+D65+D79+D88+D93+D102</f>
        <v>53899352.5</v>
      </c>
      <c r="E104" s="25">
        <f>E21+E22+E56+E65+E79+E88+E93+E102</f>
        <v>13276586.65</v>
      </c>
      <c r="F104" s="25">
        <f t="shared" ref="F104" si="64">F21+F22+F56+F65+F79+F88+F93+F102</f>
        <v>13980538.318897638</v>
      </c>
      <c r="G104" s="25">
        <f t="shared" ref="G104" si="65">G21+G22+G56+G65+G79+G88+G93+G102</f>
        <v>4404781.25</v>
      </c>
      <c r="H104" s="25">
        <f t="shared" ref="H104:J104" si="66">H21+H22+H56+H65+H79+H88+H93+H102</f>
        <v>36485271.25</v>
      </c>
      <c r="I104" s="25">
        <f t="shared" si="66"/>
        <v>7907757.1464566924</v>
      </c>
      <c r="J104" s="25">
        <f t="shared" si="66"/>
        <v>0</v>
      </c>
    </row>
    <row r="105" spans="2:10" ht="15.75">
      <c r="B105" s="4" t="s">
        <v>89</v>
      </c>
      <c r="C105" s="19">
        <f t="shared" si="48"/>
        <v>0</v>
      </c>
      <c r="D105" s="23"/>
      <c r="E105" s="23"/>
      <c r="F105" s="23"/>
      <c r="G105" s="23"/>
      <c r="H105" s="23"/>
      <c r="I105" s="23"/>
      <c r="J105" s="23"/>
    </row>
    <row r="106" spans="2:10" ht="15.75">
      <c r="B106" s="4" t="s">
        <v>90</v>
      </c>
      <c r="C106" s="19">
        <f t="shared" si="48"/>
        <v>0</v>
      </c>
      <c r="D106" s="23"/>
      <c r="E106" s="23"/>
      <c r="F106" s="23"/>
      <c r="G106" s="23"/>
      <c r="H106" s="23"/>
      <c r="I106" s="23"/>
      <c r="J106" s="23"/>
    </row>
    <row r="107" spans="2:10" ht="15.75">
      <c r="B107" s="4" t="s">
        <v>91</v>
      </c>
      <c r="C107" s="19">
        <f t="shared" si="48"/>
        <v>0</v>
      </c>
      <c r="D107" s="23"/>
      <c r="E107" s="23"/>
      <c r="F107" s="23"/>
      <c r="G107" s="23"/>
      <c r="H107" s="23"/>
      <c r="I107" s="23"/>
      <c r="J107" s="23"/>
    </row>
    <row r="108" spans="2:10" ht="15.75">
      <c r="B108" s="4" t="s">
        <v>92</v>
      </c>
      <c r="C108" s="19">
        <f t="shared" si="48"/>
        <v>0</v>
      </c>
      <c r="D108" s="23"/>
      <c r="E108" s="23"/>
      <c r="F108" s="23"/>
      <c r="G108" s="23"/>
      <c r="H108" s="23"/>
      <c r="I108" s="23"/>
      <c r="J108" s="23"/>
    </row>
    <row r="109" spans="2:10" ht="15.75">
      <c r="B109" s="4" t="s">
        <v>93</v>
      </c>
      <c r="C109" s="19">
        <f t="shared" si="48"/>
        <v>0</v>
      </c>
      <c r="D109" s="23"/>
      <c r="E109" s="23"/>
      <c r="F109" s="23"/>
      <c r="G109" s="23"/>
      <c r="H109" s="23"/>
      <c r="I109" s="23"/>
      <c r="J109" s="23"/>
    </row>
    <row r="110" spans="2:10" ht="15.75">
      <c r="B110" s="4" t="s">
        <v>94</v>
      </c>
      <c r="C110" s="19">
        <f t="shared" si="48"/>
        <v>0</v>
      </c>
      <c r="D110" s="23"/>
      <c r="E110" s="23"/>
      <c r="F110" s="23"/>
      <c r="G110" s="23"/>
      <c r="H110" s="23"/>
      <c r="I110" s="23"/>
      <c r="J110" s="23"/>
    </row>
    <row r="111" spans="2:10" ht="15.75">
      <c r="B111" s="4" t="s">
        <v>95</v>
      </c>
      <c r="C111" s="19">
        <f t="shared" si="48"/>
        <v>0</v>
      </c>
      <c r="D111" s="23"/>
      <c r="E111" s="23"/>
      <c r="F111" s="23"/>
      <c r="G111" s="23"/>
      <c r="H111" s="23"/>
      <c r="I111" s="23"/>
      <c r="J111" s="23"/>
    </row>
    <row r="112" spans="2:10" ht="15.75">
      <c r="B112" s="4" t="s">
        <v>96</v>
      </c>
      <c r="C112" s="19">
        <f t="shared" si="48"/>
        <v>0</v>
      </c>
      <c r="D112" s="23"/>
      <c r="E112" s="23"/>
      <c r="F112" s="23"/>
      <c r="G112" s="23"/>
      <c r="H112" s="23"/>
      <c r="I112" s="23"/>
      <c r="J112" s="23"/>
    </row>
    <row r="113" spans="2:10" ht="15.75">
      <c r="B113" s="4" t="s">
        <v>97</v>
      </c>
      <c r="C113" s="19">
        <f t="shared" si="48"/>
        <v>0</v>
      </c>
      <c r="D113" s="23"/>
      <c r="E113" s="23"/>
      <c r="F113" s="23"/>
      <c r="G113" s="23"/>
      <c r="H113" s="23"/>
      <c r="I113" s="23"/>
      <c r="J113" s="23"/>
    </row>
    <row r="114" spans="2:10" ht="15.75">
      <c r="B114" s="4" t="s">
        <v>98</v>
      </c>
      <c r="C114" s="19">
        <f t="shared" si="48"/>
        <v>0</v>
      </c>
      <c r="D114" s="23"/>
      <c r="E114" s="23"/>
      <c r="F114" s="23"/>
      <c r="G114" s="23"/>
      <c r="H114" s="23"/>
      <c r="I114" s="23"/>
      <c r="J114" s="23"/>
    </row>
    <row r="115" spans="2:10" ht="15.75">
      <c r="B115" s="4" t="s">
        <v>99</v>
      </c>
      <c r="C115" s="19">
        <f t="shared" si="48"/>
        <v>0</v>
      </c>
      <c r="D115" s="23"/>
      <c r="E115" s="23"/>
      <c r="F115" s="23"/>
      <c r="G115" s="23"/>
      <c r="H115" s="23"/>
      <c r="I115" s="23"/>
      <c r="J115" s="23"/>
    </row>
    <row r="116" spans="2:10" ht="15.75">
      <c r="B116" s="4" t="s">
        <v>100</v>
      </c>
      <c r="C116" s="19">
        <f t="shared" si="48"/>
        <v>0</v>
      </c>
      <c r="D116" s="23"/>
      <c r="E116" s="23"/>
      <c r="F116" s="23"/>
      <c r="G116" s="23"/>
      <c r="H116" s="23"/>
      <c r="I116" s="23"/>
      <c r="J116" s="23"/>
    </row>
    <row r="117" spans="2:10" ht="15.75">
      <c r="B117" s="4" t="s">
        <v>101</v>
      </c>
      <c r="C117" s="19">
        <f t="shared" si="48"/>
        <v>0</v>
      </c>
      <c r="D117" s="23"/>
      <c r="E117" s="23"/>
      <c r="F117" s="23"/>
      <c r="G117" s="23"/>
      <c r="H117" s="23"/>
      <c r="I117" s="23"/>
      <c r="J117" s="23"/>
    </row>
    <row r="118" spans="2:10" ht="15.75">
      <c r="B118" s="4" t="s">
        <v>102</v>
      </c>
      <c r="C118" s="19">
        <f t="shared" si="48"/>
        <v>0</v>
      </c>
      <c r="D118" s="23"/>
      <c r="E118" s="23"/>
      <c r="F118" s="23"/>
      <c r="G118" s="23"/>
      <c r="H118" s="23"/>
      <c r="I118" s="23"/>
      <c r="J118" s="23"/>
    </row>
    <row r="119" spans="2:10" ht="15.75">
      <c r="B119" s="4" t="s">
        <v>103</v>
      </c>
      <c r="C119" s="19">
        <f t="shared" si="48"/>
        <v>0</v>
      </c>
      <c r="D119" s="23"/>
      <c r="E119" s="23"/>
      <c r="F119" s="23"/>
      <c r="G119" s="23"/>
      <c r="H119" s="23"/>
      <c r="I119" s="23"/>
      <c r="J119" s="23"/>
    </row>
    <row r="120" spans="2:10" ht="15.75">
      <c r="B120" s="7" t="s">
        <v>104</v>
      </c>
      <c r="C120" s="19">
        <f t="shared" si="48"/>
        <v>0</v>
      </c>
      <c r="D120" s="22"/>
      <c r="E120" s="22"/>
      <c r="F120" s="22"/>
      <c r="G120" s="22"/>
      <c r="H120" s="22"/>
      <c r="I120" s="22"/>
      <c r="J120" s="22"/>
    </row>
    <row r="121" spans="2:10" ht="15.75">
      <c r="B121" s="4" t="s">
        <v>105</v>
      </c>
      <c r="C121" s="19">
        <f t="shared" si="48"/>
        <v>0</v>
      </c>
      <c r="D121" s="23"/>
      <c r="E121" s="23"/>
      <c r="F121" s="23"/>
      <c r="G121" s="23"/>
      <c r="H121" s="23"/>
      <c r="I121" s="23"/>
      <c r="J121" s="23"/>
    </row>
    <row r="122" spans="2:10" ht="15.75">
      <c r="B122" s="4" t="s">
        <v>106</v>
      </c>
      <c r="C122" s="19">
        <f t="shared" si="48"/>
        <v>0</v>
      </c>
      <c r="D122" s="23"/>
      <c r="E122" s="23"/>
      <c r="F122" s="23"/>
      <c r="G122" s="23"/>
      <c r="H122" s="23"/>
      <c r="I122" s="23"/>
      <c r="J122" s="23"/>
    </row>
    <row r="123" spans="2:10" ht="15.75">
      <c r="B123" s="4" t="s">
        <v>107</v>
      </c>
      <c r="C123" s="19">
        <f t="shared" si="48"/>
        <v>0</v>
      </c>
      <c r="D123" s="23"/>
      <c r="E123" s="23"/>
      <c r="F123" s="23"/>
      <c r="G123" s="23"/>
      <c r="H123" s="23"/>
      <c r="I123" s="23"/>
      <c r="J123" s="23"/>
    </row>
    <row r="124" spans="2:10" ht="15.75">
      <c r="B124" s="4" t="s">
        <v>108</v>
      </c>
      <c r="C124" s="19">
        <f t="shared" si="48"/>
        <v>0</v>
      </c>
      <c r="D124" s="23"/>
      <c r="E124" s="23"/>
      <c r="F124" s="23"/>
      <c r="G124" s="23"/>
      <c r="H124" s="23"/>
      <c r="I124" s="23"/>
      <c r="J124" s="23"/>
    </row>
    <row r="125" spans="2:10" ht="15.75">
      <c r="B125" s="7" t="s">
        <v>109</v>
      </c>
      <c r="C125" s="19">
        <f t="shared" si="48"/>
        <v>0</v>
      </c>
      <c r="D125" s="22">
        <f t="shared" ref="D125:J125" si="67">D121+D122+D123+D124</f>
        <v>0</v>
      </c>
      <c r="E125" s="22">
        <f t="shared" si="67"/>
        <v>0</v>
      </c>
      <c r="F125" s="22">
        <f t="shared" ref="F125" si="68">F121+F122+F123+F124</f>
        <v>0</v>
      </c>
      <c r="G125" s="22">
        <f t="shared" ref="G125" si="69">G121+G122+G123+G124</f>
        <v>0</v>
      </c>
      <c r="H125" s="22">
        <f t="shared" si="67"/>
        <v>0</v>
      </c>
      <c r="I125" s="22">
        <f t="shared" si="67"/>
        <v>0</v>
      </c>
      <c r="J125" s="22">
        <f t="shared" si="67"/>
        <v>0</v>
      </c>
    </row>
    <row r="126" spans="2:10" ht="15.75">
      <c r="B126" s="7" t="s">
        <v>110</v>
      </c>
      <c r="C126" s="19">
        <f t="shared" si="48"/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</row>
    <row r="127" spans="2:10" ht="15.75">
      <c r="B127" s="10" t="s">
        <v>111</v>
      </c>
      <c r="C127" s="19">
        <f t="shared" si="48"/>
        <v>0</v>
      </c>
      <c r="D127" s="22">
        <f t="shared" ref="D127:J127" si="70">D120+D125+D126</f>
        <v>0</v>
      </c>
      <c r="E127" s="22">
        <f t="shared" si="70"/>
        <v>0</v>
      </c>
      <c r="F127" s="22">
        <f t="shared" ref="F127" si="71">F120+F125+F126</f>
        <v>0</v>
      </c>
      <c r="G127" s="22">
        <f t="shared" ref="G127" si="72">G120+G125+G126</f>
        <v>0</v>
      </c>
      <c r="H127" s="22">
        <f t="shared" si="70"/>
        <v>0</v>
      </c>
      <c r="I127" s="22">
        <f t="shared" si="70"/>
        <v>0</v>
      </c>
      <c r="J127" s="22">
        <f t="shared" si="70"/>
        <v>0</v>
      </c>
    </row>
    <row r="128" spans="2:10" ht="20.25">
      <c r="B128" s="12" t="s">
        <v>112</v>
      </c>
      <c r="C128" s="19">
        <f t="shared" si="48"/>
        <v>129954287.11535433</v>
      </c>
      <c r="D128" s="26">
        <f>D104+D127</f>
        <v>53899352.5</v>
      </c>
      <c r="E128" s="26">
        <f t="shared" ref="E128:J128" si="73">E104+E127</f>
        <v>13276586.65</v>
      </c>
      <c r="F128" s="26">
        <f t="shared" ref="F128" si="74">F104+F127</f>
        <v>13980538.318897638</v>
      </c>
      <c r="G128" s="26">
        <f t="shared" ref="G128" si="75">G104+G127</f>
        <v>4404781.25</v>
      </c>
      <c r="H128" s="26">
        <f t="shared" si="73"/>
        <v>36485271.25</v>
      </c>
      <c r="I128" s="26">
        <f t="shared" si="73"/>
        <v>7907757.1464566924</v>
      </c>
      <c r="J128" s="26">
        <f t="shared" si="73"/>
        <v>0</v>
      </c>
    </row>
    <row r="129" spans="2:10" ht="15.75">
      <c r="B129" s="4" t="s">
        <v>113</v>
      </c>
      <c r="C129" s="19">
        <f t="shared" si="48"/>
        <v>0</v>
      </c>
      <c r="D129" s="23"/>
      <c r="E129" s="23"/>
      <c r="F129" s="23"/>
      <c r="G129" s="23"/>
      <c r="H129" s="23"/>
      <c r="I129" s="23"/>
      <c r="J129" s="23"/>
    </row>
    <row r="130" spans="2:10" ht="15.75">
      <c r="B130" s="4" t="s">
        <v>114</v>
      </c>
      <c r="C130" s="19">
        <f t="shared" si="48"/>
        <v>0</v>
      </c>
      <c r="D130" s="23"/>
      <c r="E130" s="23"/>
      <c r="F130" s="23"/>
      <c r="G130" s="23"/>
      <c r="H130" s="23"/>
      <c r="I130" s="23"/>
      <c r="J130" s="23"/>
    </row>
    <row r="131" spans="2:10" ht="15.75">
      <c r="B131" s="4" t="s">
        <v>115</v>
      </c>
      <c r="C131" s="19">
        <f t="shared" si="48"/>
        <v>0</v>
      </c>
      <c r="D131" s="23"/>
      <c r="E131" s="23"/>
      <c r="F131" s="23"/>
      <c r="G131" s="23"/>
      <c r="H131" s="23"/>
      <c r="I131" s="23"/>
      <c r="J131" s="23"/>
    </row>
    <row r="132" spans="2:10" ht="15.75">
      <c r="B132" s="4" t="s">
        <v>116</v>
      </c>
      <c r="C132" s="19">
        <f t="shared" si="48"/>
        <v>0</v>
      </c>
      <c r="D132" s="23"/>
      <c r="E132" s="23"/>
      <c r="F132" s="23"/>
      <c r="G132" s="23"/>
      <c r="H132" s="23"/>
      <c r="I132" s="23"/>
      <c r="J132" s="23"/>
    </row>
    <row r="133" spans="2:10" ht="15.75">
      <c r="B133" s="4" t="s">
        <v>117</v>
      </c>
      <c r="C133" s="19">
        <f t="shared" si="48"/>
        <v>0</v>
      </c>
      <c r="D133" s="23"/>
      <c r="E133" s="23"/>
      <c r="F133" s="23"/>
      <c r="G133" s="23"/>
      <c r="H133" s="23"/>
      <c r="I133" s="23"/>
      <c r="J133" s="23"/>
    </row>
    <row r="134" spans="2:10" ht="15.75">
      <c r="B134" s="4" t="s">
        <v>118</v>
      </c>
      <c r="C134" s="19">
        <f t="shared" ref="C134:C198" si="76">SUM(D134:J134)</f>
        <v>0</v>
      </c>
      <c r="D134" s="23"/>
      <c r="E134" s="23"/>
      <c r="F134" s="23"/>
      <c r="G134" s="23"/>
      <c r="H134" s="23"/>
      <c r="I134" s="23"/>
      <c r="J134" s="23"/>
    </row>
    <row r="135" spans="2:10" ht="15.75">
      <c r="B135" s="4" t="s">
        <v>119</v>
      </c>
      <c r="C135" s="19">
        <f t="shared" si="76"/>
        <v>0</v>
      </c>
      <c r="D135" s="23"/>
      <c r="E135" s="23"/>
      <c r="F135" s="23"/>
      <c r="G135" s="23"/>
      <c r="H135" s="23"/>
      <c r="I135" s="23"/>
      <c r="J135" s="23"/>
    </row>
    <row r="136" spans="2:10" ht="15.75">
      <c r="B136" s="4" t="s">
        <v>120</v>
      </c>
      <c r="C136" s="19">
        <f t="shared" si="76"/>
        <v>0</v>
      </c>
      <c r="D136" s="23"/>
      <c r="E136" s="23"/>
      <c r="F136" s="23"/>
      <c r="G136" s="23"/>
      <c r="H136" s="23"/>
      <c r="I136" s="23"/>
      <c r="J136" s="23"/>
    </row>
    <row r="137" spans="2:10" ht="15.75">
      <c r="B137" s="4" t="s">
        <v>121</v>
      </c>
      <c r="C137" s="19">
        <f t="shared" si="76"/>
        <v>0</v>
      </c>
      <c r="D137" s="23"/>
      <c r="E137" s="23"/>
      <c r="F137" s="23"/>
      <c r="G137" s="23"/>
      <c r="H137" s="23"/>
      <c r="I137" s="23"/>
      <c r="J137" s="23"/>
    </row>
    <row r="138" spans="2:10" ht="15.75">
      <c r="B138" s="4" t="s">
        <v>122</v>
      </c>
      <c r="C138" s="19">
        <f t="shared" si="76"/>
        <v>0</v>
      </c>
      <c r="D138" s="23"/>
      <c r="E138" s="23"/>
      <c r="F138" s="23"/>
      <c r="G138" s="23"/>
      <c r="H138" s="23"/>
      <c r="I138" s="23"/>
      <c r="J138" s="23"/>
    </row>
    <row r="139" spans="2:10" ht="15.75">
      <c r="B139" s="4" t="s">
        <v>123</v>
      </c>
      <c r="C139" s="19">
        <f t="shared" si="76"/>
        <v>0</v>
      </c>
      <c r="D139" s="23"/>
      <c r="E139" s="23"/>
      <c r="F139" s="23"/>
      <c r="G139" s="23"/>
      <c r="H139" s="23"/>
      <c r="I139" s="23"/>
      <c r="J139" s="23"/>
    </row>
    <row r="140" spans="2:10" ht="15.75">
      <c r="B140" s="4" t="s">
        <v>124</v>
      </c>
      <c r="C140" s="19">
        <f t="shared" si="76"/>
        <v>0</v>
      </c>
      <c r="D140" s="23"/>
      <c r="E140" s="23"/>
      <c r="F140" s="23"/>
      <c r="G140" s="23"/>
      <c r="H140" s="23"/>
      <c r="I140" s="23"/>
      <c r="J140" s="23"/>
    </row>
    <row r="141" spans="2:10" ht="15.75">
      <c r="B141" s="13" t="s">
        <v>125</v>
      </c>
      <c r="C141" s="19">
        <f t="shared" si="76"/>
        <v>0</v>
      </c>
      <c r="D141" s="22">
        <f t="shared" ref="D141:J141" si="77">D135+D136+D137+D138+D139+D140</f>
        <v>0</v>
      </c>
      <c r="E141" s="22">
        <f t="shared" si="77"/>
        <v>0</v>
      </c>
      <c r="F141" s="22">
        <f t="shared" ref="F141" si="78">F135+F136+F137+F138+F139+F140</f>
        <v>0</v>
      </c>
      <c r="G141" s="22">
        <f t="shared" ref="G141" si="79">G135+G136+G137+G138+G139+G140</f>
        <v>0</v>
      </c>
      <c r="H141" s="22">
        <f t="shared" si="77"/>
        <v>0</v>
      </c>
      <c r="I141" s="22">
        <f t="shared" si="77"/>
        <v>0</v>
      </c>
      <c r="J141" s="22">
        <f t="shared" si="77"/>
        <v>0</v>
      </c>
    </row>
    <row r="142" spans="2:10" ht="15.75">
      <c r="B142" s="4" t="s">
        <v>126</v>
      </c>
      <c r="C142" s="19">
        <f t="shared" si="76"/>
        <v>0</v>
      </c>
      <c r="D142" s="36"/>
      <c r="E142" s="36"/>
      <c r="F142" s="36"/>
      <c r="G142" s="36"/>
      <c r="H142" s="36"/>
      <c r="I142" s="36"/>
      <c r="J142" s="36"/>
    </row>
    <row r="143" spans="2:10" ht="15.75">
      <c r="B143" s="4" t="s">
        <v>127</v>
      </c>
      <c r="C143" s="19">
        <f t="shared" si="76"/>
        <v>0</v>
      </c>
      <c r="D143" s="36"/>
      <c r="E143" s="36"/>
      <c r="F143" s="36"/>
      <c r="G143" s="36"/>
      <c r="H143" s="36"/>
      <c r="I143" s="36"/>
      <c r="J143" s="36"/>
    </row>
    <row r="144" spans="2:10" ht="15.75">
      <c r="B144" s="4" t="s">
        <v>128</v>
      </c>
      <c r="C144" s="19">
        <f t="shared" si="76"/>
        <v>0</v>
      </c>
      <c r="D144" s="36"/>
      <c r="E144" s="36"/>
      <c r="F144" s="36"/>
      <c r="G144" s="36"/>
      <c r="H144" s="36"/>
      <c r="I144" s="36"/>
      <c r="J144" s="36"/>
    </row>
    <row r="145" spans="2:10" ht="15.75">
      <c r="B145" s="4" t="s">
        <v>129</v>
      </c>
      <c r="C145" s="19">
        <f t="shared" si="76"/>
        <v>0</v>
      </c>
      <c r="D145" s="36"/>
      <c r="E145" s="36"/>
      <c r="F145" s="36"/>
      <c r="G145" s="36"/>
      <c r="H145" s="36"/>
      <c r="I145" s="36"/>
      <c r="J145" s="36"/>
    </row>
    <row r="146" spans="2:10" ht="15.75">
      <c r="B146" s="4" t="s">
        <v>130</v>
      </c>
      <c r="C146" s="19">
        <f t="shared" si="76"/>
        <v>0</v>
      </c>
      <c r="D146" s="36"/>
      <c r="E146" s="36"/>
      <c r="F146" s="36"/>
      <c r="G146" s="36"/>
      <c r="H146" s="36"/>
      <c r="I146" s="36"/>
      <c r="J146" s="36"/>
    </row>
    <row r="147" spans="2:10" ht="15.75">
      <c r="B147" s="4" t="s">
        <v>131</v>
      </c>
      <c r="C147" s="19">
        <f t="shared" si="76"/>
        <v>0</v>
      </c>
      <c r="D147" s="36"/>
      <c r="E147" s="36"/>
      <c r="F147" s="36"/>
      <c r="G147" s="36"/>
      <c r="H147" s="36"/>
      <c r="I147" s="36"/>
      <c r="J147" s="36"/>
    </row>
    <row r="148" spans="2:10" ht="15.75">
      <c r="B148" s="4" t="s">
        <v>132</v>
      </c>
      <c r="C148" s="19">
        <f t="shared" si="76"/>
        <v>0</v>
      </c>
      <c r="D148" s="36"/>
      <c r="E148" s="36"/>
      <c r="F148" s="36"/>
      <c r="G148" s="36"/>
      <c r="H148" s="36"/>
      <c r="I148" s="36"/>
      <c r="J148" s="36"/>
    </row>
    <row r="149" spans="2:10" ht="15.75">
      <c r="B149" s="4" t="s">
        <v>133</v>
      </c>
      <c r="C149" s="19">
        <f t="shared" si="76"/>
        <v>0</v>
      </c>
      <c r="D149" s="36"/>
      <c r="E149" s="36"/>
      <c r="F149" s="36"/>
      <c r="G149" s="36"/>
      <c r="H149" s="36"/>
      <c r="I149" s="36"/>
      <c r="J149" s="36"/>
    </row>
    <row r="150" spans="2:10" ht="15.75">
      <c r="B150" s="4" t="s">
        <v>134</v>
      </c>
      <c r="C150" s="19">
        <f t="shared" si="76"/>
        <v>0</v>
      </c>
      <c r="D150" s="36"/>
      <c r="E150" s="36"/>
      <c r="F150" s="36"/>
      <c r="G150" s="36"/>
      <c r="H150" s="36"/>
      <c r="I150" s="36"/>
      <c r="J150" s="36"/>
    </row>
    <row r="151" spans="2:10" ht="15.75">
      <c r="B151" s="4" t="s">
        <v>135</v>
      </c>
      <c r="C151" s="19">
        <f t="shared" si="76"/>
        <v>0</v>
      </c>
      <c r="D151" s="36"/>
      <c r="E151" s="36"/>
      <c r="F151" s="36"/>
      <c r="G151" s="36"/>
      <c r="H151" s="36"/>
      <c r="I151" s="36"/>
      <c r="J151" s="36"/>
    </row>
    <row r="152" spans="2:10" ht="15.75">
      <c r="B152" s="4" t="s">
        <v>136</v>
      </c>
      <c r="C152" s="19">
        <f t="shared" si="76"/>
        <v>0</v>
      </c>
      <c r="D152" s="36"/>
      <c r="E152" s="36"/>
      <c r="F152" s="36"/>
      <c r="G152" s="36"/>
      <c r="H152" s="36"/>
      <c r="I152" s="36"/>
      <c r="J152" s="36"/>
    </row>
    <row r="153" spans="2:10" ht="15.75">
      <c r="B153" s="4" t="s">
        <v>137</v>
      </c>
      <c r="C153" s="19">
        <f t="shared" si="76"/>
        <v>0</v>
      </c>
      <c r="D153" s="36"/>
      <c r="E153" s="36"/>
      <c r="F153" s="36"/>
      <c r="G153" s="36"/>
      <c r="H153" s="36"/>
      <c r="I153" s="36"/>
      <c r="J153" s="36"/>
    </row>
    <row r="154" spans="2:10" ht="15.75">
      <c r="B154" s="4" t="s">
        <v>138</v>
      </c>
      <c r="C154" s="19">
        <f t="shared" si="76"/>
        <v>0</v>
      </c>
      <c r="D154" s="36"/>
      <c r="E154" s="36"/>
      <c r="F154" s="36"/>
      <c r="G154" s="36"/>
      <c r="H154" s="36"/>
      <c r="I154" s="36"/>
      <c r="J154" s="36"/>
    </row>
    <row r="155" spans="2:10" ht="15.75">
      <c r="B155" s="13" t="s">
        <v>139</v>
      </c>
      <c r="C155" s="19">
        <f t="shared" si="76"/>
        <v>0</v>
      </c>
      <c r="D155" s="22">
        <f t="shared" ref="D155:J155" si="80">D144+D145+D146+D147+D153+D154</f>
        <v>0</v>
      </c>
      <c r="E155" s="22">
        <f t="shared" si="80"/>
        <v>0</v>
      </c>
      <c r="F155" s="22">
        <f t="shared" ref="F155" si="81">F144+F145+F146+F147+F153+F154</f>
        <v>0</v>
      </c>
      <c r="G155" s="22">
        <f t="shared" ref="G155" si="82">G144+G145+G146+G147+G153+G154</f>
        <v>0</v>
      </c>
      <c r="H155" s="22">
        <f t="shared" si="80"/>
        <v>0</v>
      </c>
      <c r="I155" s="22">
        <f t="shared" si="80"/>
        <v>0</v>
      </c>
      <c r="J155" s="22">
        <f t="shared" si="80"/>
        <v>0</v>
      </c>
    </row>
    <row r="156" spans="2:10" ht="15.75">
      <c r="B156" s="4" t="s">
        <v>227</v>
      </c>
      <c r="C156" s="19">
        <f t="shared" si="76"/>
        <v>0</v>
      </c>
      <c r="D156" s="23"/>
      <c r="E156" s="23"/>
      <c r="F156" s="23"/>
      <c r="G156" s="23"/>
      <c r="H156" s="23"/>
      <c r="I156" s="23"/>
      <c r="J156" s="23"/>
    </row>
    <row r="157" spans="2:10" ht="15.75">
      <c r="B157" s="4" t="s">
        <v>354</v>
      </c>
      <c r="C157" s="19">
        <f t="shared" si="76"/>
        <v>14500000</v>
      </c>
      <c r="D157" s="23"/>
      <c r="E157" s="23"/>
      <c r="F157" s="23"/>
      <c r="G157" s="23"/>
      <c r="H157" s="23">
        <v>14500000</v>
      </c>
      <c r="I157" s="23"/>
      <c r="J157" s="23"/>
    </row>
    <row r="158" spans="2:10" ht="15.75">
      <c r="B158" s="4" t="s">
        <v>142</v>
      </c>
      <c r="C158" s="19">
        <f t="shared" si="76"/>
        <v>0</v>
      </c>
      <c r="D158" s="23"/>
      <c r="E158" s="23"/>
      <c r="F158" s="23"/>
      <c r="G158" s="23"/>
      <c r="H158" s="23"/>
      <c r="I158" s="23"/>
      <c r="J158" s="23"/>
    </row>
    <row r="159" spans="2:10" ht="15.75">
      <c r="B159" s="4" t="s">
        <v>143</v>
      </c>
      <c r="C159" s="19">
        <f t="shared" si="76"/>
        <v>0</v>
      </c>
      <c r="D159" s="23"/>
      <c r="E159" s="23"/>
      <c r="F159" s="23"/>
      <c r="G159" s="23"/>
      <c r="H159" s="23"/>
      <c r="I159" s="23"/>
      <c r="J159" s="23"/>
    </row>
    <row r="160" spans="2:10" ht="15.75">
      <c r="B160" s="4" t="s">
        <v>226</v>
      </c>
      <c r="C160" s="19">
        <f t="shared" si="76"/>
        <v>6857417.3228346454</v>
      </c>
      <c r="D160" s="23"/>
      <c r="E160" s="23">
        <v>0</v>
      </c>
      <c r="F160" s="23">
        <f>(493*220*8)/1.27</f>
        <v>683212.59842519683</v>
      </c>
      <c r="G160" s="23"/>
      <c r="H160" s="23"/>
      <c r="I160" s="23">
        <f>(44*(560+150)*251)/1.27</f>
        <v>6174204.7244094489</v>
      </c>
      <c r="J160" s="23"/>
    </row>
    <row r="161" spans="2:10" ht="31.5">
      <c r="B161" s="5" t="s">
        <v>335</v>
      </c>
      <c r="C161" s="19">
        <f t="shared" si="76"/>
        <v>5766502.6771653546</v>
      </c>
      <c r="D161" s="23">
        <f>(D156+D157+D158+D159+D160+D166)*0.27</f>
        <v>0</v>
      </c>
      <c r="E161" s="23"/>
      <c r="F161" s="23">
        <f>(F156+F157+F158+F159+F160+F166)*0.27</f>
        <v>184467.40157480317</v>
      </c>
      <c r="G161" s="23">
        <f t="shared" ref="G161" si="83">(G156+G157+G158+G159+G160+G166)*0.27</f>
        <v>0</v>
      </c>
      <c r="H161" s="23">
        <f>(H156+H157+H158+H159+H160+H166)*0.27</f>
        <v>3915000.0000000005</v>
      </c>
      <c r="I161" s="23">
        <f>(I156+I157+I158+I159+I160+I166)*0.27</f>
        <v>1667035.2755905513</v>
      </c>
      <c r="J161" s="23">
        <f t="shared" ref="J161" si="84">(J156+J157+J158+J159+J160+J166)*0.27</f>
        <v>0</v>
      </c>
    </row>
    <row r="162" spans="2:10" ht="15.75">
      <c r="B162" s="4" t="s">
        <v>146</v>
      </c>
      <c r="C162" s="19">
        <f t="shared" si="76"/>
        <v>0</v>
      </c>
      <c r="D162" s="23"/>
      <c r="E162" s="23"/>
      <c r="F162" s="23"/>
      <c r="G162" s="23"/>
      <c r="H162" s="23"/>
      <c r="I162" s="23"/>
      <c r="J162" s="23"/>
    </row>
    <row r="163" spans="2:10" ht="15.75">
      <c r="B163" s="4" t="s">
        <v>147</v>
      </c>
      <c r="C163" s="19">
        <f t="shared" si="76"/>
        <v>0</v>
      </c>
      <c r="D163" s="23"/>
      <c r="E163" s="23"/>
      <c r="F163" s="23"/>
      <c r="G163" s="23"/>
      <c r="H163" s="23"/>
      <c r="I163" s="23"/>
      <c r="J163" s="23"/>
    </row>
    <row r="164" spans="2:10" ht="15.75">
      <c r="B164" s="4" t="s">
        <v>148</v>
      </c>
      <c r="C164" s="19">
        <f t="shared" si="76"/>
        <v>0</v>
      </c>
      <c r="D164" s="23"/>
      <c r="E164" s="23"/>
      <c r="F164" s="23"/>
      <c r="G164" s="23"/>
      <c r="H164" s="23"/>
      <c r="I164" s="23"/>
      <c r="J164" s="23"/>
    </row>
    <row r="165" spans="2:10" ht="15.75">
      <c r="B165" s="4" t="s">
        <v>312</v>
      </c>
      <c r="C165" s="19">
        <f t="shared" ref="C165" si="85">SUM(D165:J165)</f>
        <v>0</v>
      </c>
      <c r="D165" s="23"/>
      <c r="E165" s="23"/>
      <c r="F165" s="23"/>
      <c r="G165" s="23"/>
      <c r="H165" s="23"/>
      <c r="I165" s="23"/>
      <c r="J165" s="23"/>
    </row>
    <row r="166" spans="2:10" ht="15.75">
      <c r="B166" s="4" t="s">
        <v>313</v>
      </c>
      <c r="C166" s="19">
        <f t="shared" si="76"/>
        <v>0</v>
      </c>
      <c r="D166" s="23"/>
      <c r="E166" s="23"/>
      <c r="F166" s="23"/>
      <c r="G166" s="23"/>
      <c r="H166" s="23"/>
      <c r="I166" s="23"/>
      <c r="J166" s="23"/>
    </row>
    <row r="167" spans="2:10" ht="15.75">
      <c r="B167" s="13" t="s">
        <v>149</v>
      </c>
      <c r="C167" s="19">
        <f t="shared" si="76"/>
        <v>27123920</v>
      </c>
      <c r="D167" s="22">
        <f t="shared" ref="D167:J167" si="86">SUM(D156:D166)</f>
        <v>0</v>
      </c>
      <c r="E167" s="22">
        <f t="shared" si="86"/>
        <v>0</v>
      </c>
      <c r="F167" s="22">
        <f t="shared" ref="F167" si="87">SUM(F156:F166)</f>
        <v>867680</v>
      </c>
      <c r="G167" s="22">
        <f t="shared" ref="G167" si="88">SUM(G156:G166)</f>
        <v>0</v>
      </c>
      <c r="H167" s="22">
        <f t="shared" si="86"/>
        <v>18415000</v>
      </c>
      <c r="I167" s="22">
        <f t="shared" si="86"/>
        <v>7841240</v>
      </c>
      <c r="J167" s="22">
        <f t="shared" si="86"/>
        <v>0</v>
      </c>
    </row>
    <row r="168" spans="2:10" ht="15.75">
      <c r="B168" s="4" t="s">
        <v>150</v>
      </c>
      <c r="C168" s="19">
        <f t="shared" si="76"/>
        <v>0</v>
      </c>
      <c r="D168" s="23"/>
      <c r="E168" s="23"/>
      <c r="F168" s="23"/>
      <c r="G168" s="23"/>
      <c r="H168" s="23"/>
      <c r="I168" s="23"/>
      <c r="J168" s="23"/>
    </row>
    <row r="169" spans="2:10" ht="15.75">
      <c r="B169" s="4" t="s">
        <v>151</v>
      </c>
      <c r="C169" s="19">
        <f t="shared" si="76"/>
        <v>0</v>
      </c>
      <c r="D169" s="23"/>
      <c r="E169" s="23"/>
      <c r="F169" s="23"/>
      <c r="G169" s="23"/>
      <c r="H169" s="23"/>
      <c r="I169" s="23"/>
      <c r="J169" s="23"/>
    </row>
    <row r="170" spans="2:10" ht="15.75">
      <c r="B170" s="4" t="s">
        <v>152</v>
      </c>
      <c r="C170" s="19">
        <f t="shared" si="76"/>
        <v>0</v>
      </c>
      <c r="D170" s="23"/>
      <c r="E170" s="23"/>
      <c r="F170" s="23"/>
      <c r="G170" s="23"/>
      <c r="H170" s="23"/>
      <c r="I170" s="23"/>
      <c r="J170" s="23"/>
    </row>
    <row r="171" spans="2:10" ht="15.75">
      <c r="B171" s="13" t="s">
        <v>153</v>
      </c>
      <c r="C171" s="19">
        <f t="shared" si="76"/>
        <v>0</v>
      </c>
      <c r="D171" s="22">
        <f t="shared" ref="D171:J171" si="89">SUM(D168:D170)</f>
        <v>0</v>
      </c>
      <c r="E171" s="22">
        <f t="shared" si="89"/>
        <v>0</v>
      </c>
      <c r="F171" s="22">
        <f t="shared" ref="F171" si="90">SUM(F168:F170)</f>
        <v>0</v>
      </c>
      <c r="G171" s="22">
        <f t="shared" ref="G171" si="91">SUM(G168:G170)</f>
        <v>0</v>
      </c>
      <c r="H171" s="22">
        <f t="shared" si="89"/>
        <v>0</v>
      </c>
      <c r="I171" s="22">
        <f t="shared" si="89"/>
        <v>0</v>
      </c>
      <c r="J171" s="22">
        <f t="shared" si="89"/>
        <v>0</v>
      </c>
    </row>
    <row r="172" spans="2:10" ht="15.75">
      <c r="B172" s="14" t="s">
        <v>154</v>
      </c>
      <c r="C172" s="19">
        <f t="shared" si="76"/>
        <v>27123920</v>
      </c>
      <c r="D172" s="22">
        <f>D141+D155+D167+D171</f>
        <v>0</v>
      </c>
      <c r="E172" s="22">
        <f t="shared" ref="E172:J172" si="92">E141+E155+E167+E171</f>
        <v>0</v>
      </c>
      <c r="F172" s="22">
        <f t="shared" ref="F172" si="93">F141+F155+F167+F171</f>
        <v>867680</v>
      </c>
      <c r="G172" s="22">
        <f t="shared" ref="G172" si="94">G141+G155+G167+G171</f>
        <v>0</v>
      </c>
      <c r="H172" s="22">
        <f t="shared" si="92"/>
        <v>18415000</v>
      </c>
      <c r="I172" s="22">
        <f t="shared" si="92"/>
        <v>7841240</v>
      </c>
      <c r="J172" s="22">
        <f t="shared" si="92"/>
        <v>0</v>
      </c>
    </row>
    <row r="173" spans="2:10" ht="15.75">
      <c r="B173" s="4" t="s">
        <v>155</v>
      </c>
      <c r="C173" s="19">
        <f t="shared" si="76"/>
        <v>0</v>
      </c>
      <c r="D173" s="23"/>
      <c r="E173" s="23"/>
      <c r="F173" s="23"/>
      <c r="G173" s="23"/>
      <c r="H173" s="23"/>
      <c r="I173" s="23"/>
      <c r="J173" s="23"/>
    </row>
    <row r="174" spans="2:10" ht="15.75">
      <c r="B174" s="4" t="s">
        <v>156</v>
      </c>
      <c r="C174" s="19">
        <f t="shared" si="76"/>
        <v>0</v>
      </c>
      <c r="D174" s="23"/>
      <c r="E174" s="23"/>
      <c r="F174" s="23"/>
      <c r="G174" s="23"/>
      <c r="H174" s="23"/>
      <c r="I174" s="23"/>
      <c r="J174" s="23"/>
    </row>
    <row r="175" spans="2:10" ht="15.75">
      <c r="B175" s="4" t="s">
        <v>157</v>
      </c>
      <c r="C175" s="19">
        <f t="shared" si="76"/>
        <v>0</v>
      </c>
      <c r="D175" s="23"/>
      <c r="E175" s="23"/>
      <c r="F175" s="23"/>
      <c r="G175" s="23"/>
      <c r="H175" s="23"/>
      <c r="I175" s="23"/>
      <c r="J175" s="23"/>
    </row>
    <row r="176" spans="2:10" ht="15.75">
      <c r="B176" s="4" t="s">
        <v>158</v>
      </c>
      <c r="C176" s="19">
        <f t="shared" si="76"/>
        <v>0</v>
      </c>
      <c r="D176" s="23"/>
      <c r="E176" s="23"/>
      <c r="F176" s="23"/>
      <c r="G176" s="23"/>
      <c r="H176" s="23"/>
      <c r="I176" s="23"/>
      <c r="J176" s="23"/>
    </row>
    <row r="177" spans="2:10" ht="15.75">
      <c r="B177" s="4" t="s">
        <v>159</v>
      </c>
      <c r="C177" s="19">
        <f t="shared" si="76"/>
        <v>0</v>
      </c>
      <c r="D177" s="23"/>
      <c r="E177" s="23"/>
      <c r="F177" s="23"/>
      <c r="G177" s="23"/>
      <c r="H177" s="23"/>
      <c r="I177" s="23"/>
      <c r="J177" s="23"/>
    </row>
    <row r="178" spans="2:10" ht="15.75">
      <c r="B178" s="13" t="s">
        <v>160</v>
      </c>
      <c r="C178" s="19">
        <f t="shared" si="76"/>
        <v>0</v>
      </c>
      <c r="D178" s="22">
        <f t="shared" ref="D178:J178" si="95">SUM(D173:D177)</f>
        <v>0</v>
      </c>
      <c r="E178" s="22">
        <f t="shared" si="95"/>
        <v>0</v>
      </c>
      <c r="F178" s="22">
        <f t="shared" ref="F178" si="96">SUM(F173:F177)</f>
        <v>0</v>
      </c>
      <c r="G178" s="22">
        <f t="shared" ref="G178" si="97">SUM(G173:G177)</f>
        <v>0</v>
      </c>
      <c r="H178" s="22">
        <f t="shared" si="95"/>
        <v>0</v>
      </c>
      <c r="I178" s="22">
        <f t="shared" si="95"/>
        <v>0</v>
      </c>
      <c r="J178" s="22">
        <f t="shared" si="95"/>
        <v>0</v>
      </c>
    </row>
    <row r="179" spans="2:10" ht="15.75">
      <c r="B179" s="4" t="s">
        <v>161</v>
      </c>
      <c r="C179" s="19">
        <f t="shared" si="76"/>
        <v>0</v>
      </c>
      <c r="D179" s="23"/>
      <c r="E179" s="23"/>
      <c r="F179" s="23"/>
      <c r="G179" s="23"/>
      <c r="H179" s="23"/>
      <c r="I179" s="23"/>
      <c r="J179" s="23"/>
    </row>
    <row r="180" spans="2:10" ht="15.75">
      <c r="B180" s="4" t="s">
        <v>162</v>
      </c>
      <c r="C180" s="19">
        <f t="shared" si="76"/>
        <v>0</v>
      </c>
      <c r="D180" s="23"/>
      <c r="E180" s="23"/>
      <c r="F180" s="23"/>
      <c r="G180" s="23"/>
      <c r="H180" s="23"/>
      <c r="I180" s="23"/>
      <c r="J180" s="23"/>
    </row>
    <row r="181" spans="2:10" ht="15.75">
      <c r="B181" s="4" t="s">
        <v>163</v>
      </c>
      <c r="C181" s="19">
        <f t="shared" si="76"/>
        <v>0</v>
      </c>
      <c r="D181" s="23"/>
      <c r="E181" s="23"/>
      <c r="F181" s="23"/>
      <c r="G181" s="23"/>
      <c r="H181" s="23"/>
      <c r="I181" s="23"/>
      <c r="J181" s="23"/>
    </row>
    <row r="182" spans="2:10" ht="15.75">
      <c r="B182" s="4" t="s">
        <v>164</v>
      </c>
      <c r="C182" s="19">
        <f t="shared" si="76"/>
        <v>0</v>
      </c>
      <c r="D182" s="23"/>
      <c r="E182" s="23"/>
      <c r="F182" s="23"/>
      <c r="G182" s="23"/>
      <c r="H182" s="23"/>
      <c r="I182" s="23"/>
      <c r="J182" s="23"/>
    </row>
    <row r="183" spans="2:10" ht="15.75">
      <c r="B183" s="4" t="s">
        <v>165</v>
      </c>
      <c r="C183" s="19">
        <f t="shared" si="76"/>
        <v>0</v>
      </c>
      <c r="D183" s="23"/>
      <c r="E183" s="23"/>
      <c r="F183" s="23"/>
      <c r="G183" s="23"/>
      <c r="H183" s="23"/>
      <c r="I183" s="23"/>
      <c r="J183" s="23"/>
    </row>
    <row r="184" spans="2:10" ht="15.75">
      <c r="B184" s="13" t="s">
        <v>166</v>
      </c>
      <c r="C184" s="19">
        <f t="shared" si="76"/>
        <v>0</v>
      </c>
      <c r="D184" s="22">
        <f t="shared" ref="D184:J184" si="98">SUM(D179:D183)</f>
        <v>0</v>
      </c>
      <c r="E184" s="22">
        <f t="shared" si="98"/>
        <v>0</v>
      </c>
      <c r="F184" s="22">
        <f t="shared" ref="F184" si="99">SUM(F179:F183)</f>
        <v>0</v>
      </c>
      <c r="G184" s="22">
        <f t="shared" ref="G184" si="100">SUM(G179:G183)</f>
        <v>0</v>
      </c>
      <c r="H184" s="22">
        <f t="shared" si="98"/>
        <v>0</v>
      </c>
      <c r="I184" s="22">
        <f t="shared" si="98"/>
        <v>0</v>
      </c>
      <c r="J184" s="22">
        <f t="shared" si="98"/>
        <v>0</v>
      </c>
    </row>
    <row r="185" spans="2:10" ht="15.75">
      <c r="B185" s="4" t="s">
        <v>167</v>
      </c>
      <c r="C185" s="19">
        <f t="shared" si="76"/>
        <v>0</v>
      </c>
      <c r="D185" s="23"/>
      <c r="E185" s="23"/>
      <c r="F185" s="23"/>
      <c r="G185" s="23"/>
      <c r="H185" s="23"/>
      <c r="I185" s="23"/>
      <c r="J185" s="23"/>
    </row>
    <row r="186" spans="2:10" ht="15.75">
      <c r="B186" s="4" t="s">
        <v>168</v>
      </c>
      <c r="C186" s="19">
        <f t="shared" si="76"/>
        <v>0</v>
      </c>
      <c r="D186" s="23"/>
      <c r="E186" s="23"/>
      <c r="F186" s="23"/>
      <c r="G186" s="23"/>
      <c r="H186" s="23"/>
      <c r="I186" s="23"/>
      <c r="J186" s="23"/>
    </row>
    <row r="187" spans="2:10" ht="15.75">
      <c r="B187" s="4" t="s">
        <v>169</v>
      </c>
      <c r="C187" s="19">
        <f t="shared" si="76"/>
        <v>0</v>
      </c>
      <c r="D187" s="23"/>
      <c r="E187" s="23"/>
      <c r="F187" s="23"/>
      <c r="G187" s="23"/>
      <c r="H187" s="23"/>
      <c r="I187" s="23"/>
      <c r="J187" s="23"/>
    </row>
    <row r="188" spans="2:10" ht="15.75">
      <c r="B188" s="13" t="s">
        <v>170</v>
      </c>
      <c r="C188" s="19">
        <f t="shared" si="76"/>
        <v>0</v>
      </c>
      <c r="D188" s="22">
        <f t="shared" ref="D188:J188" si="101">SUM(D185:D187)</f>
        <v>0</v>
      </c>
      <c r="E188" s="22">
        <f t="shared" si="101"/>
        <v>0</v>
      </c>
      <c r="F188" s="22">
        <f t="shared" ref="F188" si="102">SUM(F185:F187)</f>
        <v>0</v>
      </c>
      <c r="G188" s="22">
        <f t="shared" ref="G188" si="103">SUM(G185:G187)</f>
        <v>0</v>
      </c>
      <c r="H188" s="22">
        <f t="shared" si="101"/>
        <v>0</v>
      </c>
      <c r="I188" s="22">
        <f t="shared" si="101"/>
        <v>0</v>
      </c>
      <c r="J188" s="22">
        <f t="shared" si="101"/>
        <v>0</v>
      </c>
    </row>
    <row r="189" spans="2:10" ht="15.75">
      <c r="B189" s="14" t="s">
        <v>171</v>
      </c>
      <c r="C189" s="19">
        <f t="shared" si="76"/>
        <v>0</v>
      </c>
      <c r="D189" s="27">
        <f t="shared" ref="D189:J189" si="104">D178+D184+D188</f>
        <v>0</v>
      </c>
      <c r="E189" s="27">
        <f t="shared" si="104"/>
        <v>0</v>
      </c>
      <c r="F189" s="27">
        <f t="shared" ref="F189" si="105">F178+F184+F188</f>
        <v>0</v>
      </c>
      <c r="G189" s="27">
        <f t="shared" ref="G189" si="106">G178+G184+G188</f>
        <v>0</v>
      </c>
      <c r="H189" s="27">
        <f t="shared" si="104"/>
        <v>0</v>
      </c>
      <c r="I189" s="27">
        <f t="shared" si="104"/>
        <v>0</v>
      </c>
      <c r="J189" s="27">
        <f t="shared" si="104"/>
        <v>0</v>
      </c>
    </row>
    <row r="190" spans="2:10" ht="18.75">
      <c r="B190" s="15" t="s">
        <v>172</v>
      </c>
      <c r="C190" s="19">
        <f t="shared" si="76"/>
        <v>27123920</v>
      </c>
      <c r="D190" s="25">
        <f t="shared" ref="D190:J190" si="107">D172+D189</f>
        <v>0</v>
      </c>
      <c r="E190" s="25">
        <f t="shared" si="107"/>
        <v>0</v>
      </c>
      <c r="F190" s="25">
        <f t="shared" ref="F190" si="108">F172+F189</f>
        <v>867680</v>
      </c>
      <c r="G190" s="25">
        <f t="shared" ref="G190" si="109">G172+G189</f>
        <v>0</v>
      </c>
      <c r="H190" s="25">
        <f t="shared" si="107"/>
        <v>18415000</v>
      </c>
      <c r="I190" s="25">
        <f t="shared" si="107"/>
        <v>7841240</v>
      </c>
      <c r="J190" s="25">
        <f t="shared" si="107"/>
        <v>0</v>
      </c>
    </row>
    <row r="191" spans="2:10" ht="18.75">
      <c r="B191" s="37" t="s">
        <v>173</v>
      </c>
      <c r="C191" s="19">
        <f t="shared" si="76"/>
        <v>-102430367.11535433</v>
      </c>
      <c r="D191" s="38">
        <f t="shared" ref="D191:J191" si="110">D172-D80</f>
        <v>-53899352.5</v>
      </c>
      <c r="E191" s="38">
        <f t="shared" si="110"/>
        <v>-13276586.65</v>
      </c>
      <c r="F191" s="38">
        <f t="shared" ref="F191" si="111">F172-F80</f>
        <v>-13112858.318897638</v>
      </c>
      <c r="G191" s="38">
        <f t="shared" ref="G191" si="112">G172-G80</f>
        <v>-4404781.25</v>
      </c>
      <c r="H191" s="38">
        <f t="shared" si="110"/>
        <v>-17670271.25</v>
      </c>
      <c r="I191" s="38">
        <f t="shared" si="110"/>
        <v>-66517.146456692368</v>
      </c>
      <c r="J191" s="38">
        <f t="shared" si="110"/>
        <v>0</v>
      </c>
    </row>
    <row r="192" spans="2:10" ht="18.75">
      <c r="B192" s="37" t="s">
        <v>174</v>
      </c>
      <c r="C192" s="19">
        <f t="shared" si="76"/>
        <v>-400000</v>
      </c>
      <c r="D192" s="38">
        <f t="shared" ref="D192:J192" si="113">D189-D103</f>
        <v>0</v>
      </c>
      <c r="E192" s="38">
        <f t="shared" si="113"/>
        <v>0</v>
      </c>
      <c r="F192" s="38">
        <f t="shared" ref="F192" si="114">F189-F103</f>
        <v>0</v>
      </c>
      <c r="G192" s="38">
        <f t="shared" ref="G192" si="115">G189-G103</f>
        <v>0</v>
      </c>
      <c r="H192" s="38">
        <f t="shared" si="113"/>
        <v>-400000</v>
      </c>
      <c r="I192" s="38">
        <f t="shared" si="113"/>
        <v>0</v>
      </c>
      <c r="J192" s="38">
        <f t="shared" si="113"/>
        <v>0</v>
      </c>
    </row>
    <row r="193" spans="2:10" ht="15.75">
      <c r="B193" s="4" t="s">
        <v>175</v>
      </c>
      <c r="C193" s="19">
        <f t="shared" si="76"/>
        <v>0</v>
      </c>
      <c r="D193" s="23"/>
      <c r="E193" s="23"/>
      <c r="F193" s="23"/>
      <c r="G193" s="23"/>
      <c r="H193" s="23"/>
      <c r="I193" s="23"/>
      <c r="J193" s="23"/>
    </row>
    <row r="194" spans="2:10" ht="15.75">
      <c r="B194" s="4" t="s">
        <v>176</v>
      </c>
      <c r="C194" s="19">
        <f t="shared" si="76"/>
        <v>0</v>
      </c>
      <c r="D194" s="23"/>
      <c r="E194" s="23"/>
      <c r="F194" s="23"/>
      <c r="G194" s="23"/>
      <c r="H194" s="23"/>
      <c r="I194" s="23"/>
      <c r="J194" s="23"/>
    </row>
    <row r="195" spans="2:10" ht="15.75">
      <c r="B195" s="4" t="s">
        <v>177</v>
      </c>
      <c r="C195" s="19">
        <f t="shared" si="76"/>
        <v>0</v>
      </c>
      <c r="D195" s="23"/>
      <c r="E195" s="23"/>
      <c r="F195" s="23"/>
      <c r="G195" s="23"/>
      <c r="H195" s="23"/>
      <c r="I195" s="23"/>
      <c r="J195" s="23"/>
    </row>
    <row r="196" spans="2:10" ht="15.75">
      <c r="B196" s="4" t="s">
        <v>178</v>
      </c>
      <c r="C196" s="19">
        <f t="shared" si="76"/>
        <v>0</v>
      </c>
      <c r="D196" s="23"/>
      <c r="E196" s="23"/>
      <c r="F196" s="23"/>
      <c r="G196" s="23"/>
      <c r="H196" s="23"/>
      <c r="I196" s="23"/>
      <c r="J196" s="23"/>
    </row>
    <row r="197" spans="2:10" ht="15.75">
      <c r="B197" s="4" t="s">
        <v>179</v>
      </c>
      <c r="C197" s="19">
        <f t="shared" si="76"/>
        <v>0</v>
      </c>
      <c r="D197" s="23"/>
      <c r="E197" s="23"/>
      <c r="F197" s="23"/>
      <c r="G197" s="23"/>
      <c r="H197" s="23"/>
      <c r="I197" s="23"/>
      <c r="J197" s="23"/>
    </row>
    <row r="198" spans="2:10" ht="15.75">
      <c r="B198" s="4" t="s">
        <v>180</v>
      </c>
      <c r="C198" s="19">
        <f t="shared" si="76"/>
        <v>0</v>
      </c>
      <c r="D198" s="23"/>
      <c r="E198" s="23"/>
      <c r="F198" s="23"/>
      <c r="G198" s="23"/>
      <c r="H198" s="23"/>
      <c r="I198" s="23"/>
      <c r="J198" s="23"/>
    </row>
    <row r="199" spans="2:10" ht="15.75">
      <c r="B199" s="4" t="s">
        <v>181</v>
      </c>
      <c r="C199" s="19">
        <f t="shared" ref="C199:C220" si="116">SUM(D199:J199)</f>
        <v>0</v>
      </c>
      <c r="D199" s="23"/>
      <c r="E199" s="23"/>
      <c r="F199" s="23"/>
      <c r="G199" s="23"/>
      <c r="H199" s="23"/>
      <c r="I199" s="23"/>
      <c r="J199" s="23"/>
    </row>
    <row r="200" spans="2:10" ht="15.75">
      <c r="B200" s="4" t="s">
        <v>182</v>
      </c>
      <c r="C200" s="19">
        <f t="shared" si="116"/>
        <v>0</v>
      </c>
      <c r="D200" s="23"/>
      <c r="E200" s="23"/>
      <c r="F200" s="23"/>
      <c r="G200" s="23"/>
      <c r="H200" s="23"/>
      <c r="I200" s="23"/>
      <c r="J200" s="23"/>
    </row>
    <row r="201" spans="2:10" ht="15.75">
      <c r="B201" s="4" t="s">
        <v>183</v>
      </c>
      <c r="C201" s="19">
        <f t="shared" si="116"/>
        <v>0</v>
      </c>
      <c r="D201" s="23"/>
      <c r="E201" s="23"/>
      <c r="F201" s="23"/>
      <c r="G201" s="23"/>
      <c r="H201" s="23"/>
      <c r="I201" s="23"/>
      <c r="J201" s="23"/>
    </row>
    <row r="202" spans="2:10" ht="15.75">
      <c r="B202" s="4" t="s">
        <v>184</v>
      </c>
      <c r="C202" s="19">
        <f t="shared" si="116"/>
        <v>1692956</v>
      </c>
      <c r="D202" s="23"/>
      <c r="E202" s="23"/>
      <c r="F202" s="23"/>
      <c r="G202" s="23"/>
      <c r="H202" s="23"/>
      <c r="I202" s="23"/>
      <c r="J202" s="67">
        <f>163615+1529341</f>
        <v>1692956</v>
      </c>
    </row>
    <row r="203" spans="2:10" ht="15.75">
      <c r="B203" s="4" t="s">
        <v>185</v>
      </c>
      <c r="C203" s="19">
        <f t="shared" si="116"/>
        <v>0</v>
      </c>
      <c r="D203" s="23"/>
      <c r="E203" s="23"/>
      <c r="F203" s="23"/>
      <c r="G203" s="23"/>
      <c r="H203" s="23"/>
      <c r="I203" s="23"/>
      <c r="J203" s="23"/>
    </row>
    <row r="204" spans="2:10" ht="15.75">
      <c r="B204" s="4" t="s">
        <v>186</v>
      </c>
      <c r="C204" s="19">
        <f t="shared" si="116"/>
        <v>0</v>
      </c>
      <c r="D204" s="23"/>
      <c r="E204" s="23"/>
      <c r="F204" s="23"/>
      <c r="G204" s="23"/>
      <c r="H204" s="23"/>
      <c r="I204" s="23"/>
      <c r="J204" s="23"/>
    </row>
    <row r="205" spans="2:10" ht="15.75">
      <c r="B205" s="4" t="s">
        <v>187</v>
      </c>
      <c r="C205" s="19">
        <f t="shared" si="116"/>
        <v>0</v>
      </c>
      <c r="D205" s="23"/>
      <c r="E205" s="23"/>
      <c r="F205" s="23"/>
      <c r="G205" s="23"/>
      <c r="H205" s="23"/>
      <c r="I205" s="23"/>
      <c r="J205" s="23"/>
    </row>
    <row r="206" spans="2:10" ht="15.75">
      <c r="B206" s="4" t="s">
        <v>188</v>
      </c>
      <c r="C206" s="19">
        <f t="shared" si="116"/>
        <v>0</v>
      </c>
      <c r="D206" s="23"/>
      <c r="E206" s="23"/>
      <c r="F206" s="23"/>
      <c r="G206" s="23"/>
      <c r="H206" s="23"/>
      <c r="I206" s="23"/>
      <c r="J206" s="23"/>
    </row>
    <row r="207" spans="2:10" ht="15.75">
      <c r="B207" s="4" t="s">
        <v>189</v>
      </c>
      <c r="C207" s="19">
        <f t="shared" si="116"/>
        <v>0</v>
      </c>
      <c r="D207" s="23"/>
      <c r="E207" s="23"/>
      <c r="F207" s="23"/>
      <c r="G207" s="23"/>
      <c r="H207" s="23"/>
      <c r="I207" s="23"/>
      <c r="J207" s="23"/>
    </row>
    <row r="208" spans="2:10" ht="15.75">
      <c r="B208" s="4" t="s">
        <v>190</v>
      </c>
      <c r="C208" s="19">
        <f t="shared" si="116"/>
        <v>0</v>
      </c>
      <c r="D208" s="23"/>
      <c r="E208" s="23"/>
      <c r="F208" s="23"/>
      <c r="G208" s="23"/>
      <c r="H208" s="23"/>
      <c r="I208" s="23"/>
      <c r="J208" s="23"/>
    </row>
    <row r="209" spans="2:10" ht="15.75">
      <c r="B209" s="4" t="s">
        <v>191</v>
      </c>
      <c r="C209" s="19">
        <f t="shared" si="116"/>
        <v>0</v>
      </c>
      <c r="D209" s="23"/>
      <c r="E209" s="23"/>
      <c r="F209" s="23"/>
      <c r="G209" s="67">
        <v>0</v>
      </c>
      <c r="H209" s="23"/>
      <c r="I209" s="23"/>
      <c r="J209" s="67">
        <v>0</v>
      </c>
    </row>
    <row r="210" spans="2:10" ht="15.75">
      <c r="B210" s="4" t="s">
        <v>192</v>
      </c>
      <c r="C210" s="19">
        <f t="shared" si="116"/>
        <v>0</v>
      </c>
      <c r="D210" s="23"/>
      <c r="E210" s="23"/>
      <c r="F210" s="23"/>
      <c r="G210" s="23"/>
      <c r="H210" s="23"/>
      <c r="I210" s="23"/>
      <c r="J210" s="23"/>
    </row>
    <row r="211" spans="2:10" ht="15.75">
      <c r="B211" s="4" t="s">
        <v>193</v>
      </c>
      <c r="C211" s="19">
        <f t="shared" si="116"/>
        <v>0</v>
      </c>
      <c r="D211" s="23"/>
      <c r="E211" s="23"/>
      <c r="F211" s="23"/>
      <c r="G211" s="23"/>
      <c r="H211" s="23"/>
      <c r="I211" s="23"/>
      <c r="J211" s="23"/>
    </row>
    <row r="212" spans="2:10" ht="15.75">
      <c r="B212" s="4" t="s">
        <v>194</v>
      </c>
      <c r="C212" s="19">
        <f t="shared" si="116"/>
        <v>1692956</v>
      </c>
      <c r="D212" s="22">
        <f>SUM(D193:D211)</f>
        <v>0</v>
      </c>
      <c r="E212" s="22">
        <f t="shared" ref="E212:J212" si="117">SUM(E193:E211)</f>
        <v>0</v>
      </c>
      <c r="F212" s="22">
        <f t="shared" ref="F212" si="118">SUM(F193:F211)</f>
        <v>0</v>
      </c>
      <c r="G212" s="22">
        <f t="shared" ref="G212" si="119">SUM(G193:G211)</f>
        <v>0</v>
      </c>
      <c r="H212" s="22">
        <f t="shared" si="117"/>
        <v>0</v>
      </c>
      <c r="I212" s="22">
        <f t="shared" si="117"/>
        <v>0</v>
      </c>
      <c r="J212" s="22">
        <f t="shared" si="117"/>
        <v>1692956</v>
      </c>
    </row>
    <row r="213" spans="2:10" ht="15.75">
      <c r="B213" s="4" t="s">
        <v>195</v>
      </c>
      <c r="C213" s="19">
        <f t="shared" si="116"/>
        <v>0</v>
      </c>
      <c r="D213" s="23"/>
      <c r="E213" s="23"/>
      <c r="F213" s="23"/>
      <c r="G213" s="23"/>
      <c r="H213" s="23"/>
      <c r="I213" s="23"/>
      <c r="J213" s="23"/>
    </row>
    <row r="214" spans="2:10" ht="15.75">
      <c r="B214" s="4" t="s">
        <v>196</v>
      </c>
      <c r="C214" s="19">
        <f t="shared" si="116"/>
        <v>0</v>
      </c>
      <c r="D214" s="23"/>
      <c r="E214" s="23"/>
      <c r="F214" s="23"/>
      <c r="G214" s="23"/>
      <c r="H214" s="23"/>
      <c r="I214" s="23"/>
      <c r="J214" s="23"/>
    </row>
    <row r="215" spans="2:10" ht="15.75">
      <c r="B215" s="4" t="s">
        <v>197</v>
      </c>
      <c r="C215" s="19">
        <f t="shared" si="116"/>
        <v>0</v>
      </c>
      <c r="D215" s="23"/>
      <c r="E215" s="23"/>
      <c r="F215" s="23"/>
      <c r="G215" s="23"/>
      <c r="H215" s="23"/>
      <c r="I215" s="23"/>
      <c r="J215" s="23"/>
    </row>
    <row r="216" spans="2:10" ht="15.75">
      <c r="B216" s="4" t="s">
        <v>198</v>
      </c>
      <c r="C216" s="19">
        <f t="shared" si="116"/>
        <v>0</v>
      </c>
      <c r="D216" s="23"/>
      <c r="E216" s="23"/>
      <c r="F216" s="23"/>
      <c r="G216" s="23"/>
      <c r="H216" s="23"/>
      <c r="I216" s="23"/>
      <c r="J216" s="23"/>
    </row>
    <row r="217" spans="2:10" ht="15.75">
      <c r="B217" s="4" t="s">
        <v>199</v>
      </c>
      <c r="C217" s="19">
        <f t="shared" si="116"/>
        <v>0</v>
      </c>
      <c r="D217" s="23"/>
      <c r="E217" s="23"/>
      <c r="F217" s="23"/>
      <c r="G217" s="23"/>
      <c r="H217" s="23"/>
      <c r="I217" s="23"/>
      <c r="J217" s="23"/>
    </row>
    <row r="218" spans="2:10" ht="15.75">
      <c r="B218" s="4" t="s">
        <v>200</v>
      </c>
      <c r="C218" s="19">
        <f t="shared" si="116"/>
        <v>0</v>
      </c>
      <c r="D218" s="22">
        <f>SUM(D213:D217)</f>
        <v>0</v>
      </c>
      <c r="E218" s="22">
        <f t="shared" ref="E218:J218" si="120">SUM(E213:E217)</f>
        <v>0</v>
      </c>
      <c r="F218" s="22">
        <f t="shared" ref="F218" si="121">SUM(F213:F217)</f>
        <v>0</v>
      </c>
      <c r="G218" s="22">
        <f t="shared" ref="G218" si="122">SUM(G213:G217)</f>
        <v>0</v>
      </c>
      <c r="H218" s="22">
        <f t="shared" si="120"/>
        <v>0</v>
      </c>
      <c r="I218" s="22">
        <f t="shared" si="120"/>
        <v>0</v>
      </c>
      <c r="J218" s="22">
        <f t="shared" si="120"/>
        <v>0</v>
      </c>
    </row>
    <row r="219" spans="2:10" ht="15.75">
      <c r="B219" s="13" t="s">
        <v>201</v>
      </c>
      <c r="C219" s="19">
        <f t="shared" si="116"/>
        <v>1692956</v>
      </c>
      <c r="D219" s="22">
        <f t="shared" ref="D219:J219" si="123">D212+D217+D218</f>
        <v>0</v>
      </c>
      <c r="E219" s="22">
        <f t="shared" si="123"/>
        <v>0</v>
      </c>
      <c r="F219" s="22">
        <f t="shared" ref="F219" si="124">F212+F217+F218</f>
        <v>0</v>
      </c>
      <c r="G219" s="22">
        <f t="shared" ref="G219" si="125">G212+G217+G218</f>
        <v>0</v>
      </c>
      <c r="H219" s="22">
        <f t="shared" si="123"/>
        <v>0</v>
      </c>
      <c r="I219" s="22">
        <f t="shared" si="123"/>
        <v>0</v>
      </c>
      <c r="J219" s="22">
        <f t="shared" si="123"/>
        <v>1692956</v>
      </c>
    </row>
    <row r="220" spans="2:10" ht="20.25">
      <c r="B220" s="16" t="s">
        <v>202</v>
      </c>
      <c r="C220" s="19">
        <f t="shared" si="116"/>
        <v>28816876</v>
      </c>
      <c r="D220" s="26">
        <f>D190+D219</f>
        <v>0</v>
      </c>
      <c r="E220" s="26">
        <f>E190+E219</f>
        <v>0</v>
      </c>
      <c r="F220" s="26">
        <f t="shared" ref="F220" si="126">F190+F219</f>
        <v>867680</v>
      </c>
      <c r="G220" s="26">
        <f t="shared" ref="G220" si="127">G190+G219</f>
        <v>0</v>
      </c>
      <c r="H220" s="26">
        <f t="shared" ref="H220:J220" si="128">H190+H219</f>
        <v>18415000</v>
      </c>
      <c r="I220" s="26">
        <f t="shared" si="128"/>
        <v>7841240</v>
      </c>
      <c r="J220" s="26">
        <f t="shared" si="128"/>
        <v>1692956</v>
      </c>
    </row>
    <row r="221" spans="2:10">
      <c r="D221" s="20"/>
      <c r="E221" s="20"/>
      <c r="F221" s="20"/>
      <c r="G221" s="20"/>
      <c r="H221" s="20"/>
      <c r="I221" s="20"/>
      <c r="J221" s="20"/>
    </row>
    <row r="222" spans="2:10">
      <c r="C222" s="68">
        <f>SUM(D222:J222)</f>
        <v>-101137411.11535433</v>
      </c>
      <c r="D222" s="29">
        <f t="shared" ref="D222:J222" si="129">D220-D128</f>
        <v>-53899352.5</v>
      </c>
      <c r="E222" s="29">
        <f t="shared" si="129"/>
        <v>-13276586.65</v>
      </c>
      <c r="F222" s="29">
        <f t="shared" ref="F222" si="130">F220-F128</f>
        <v>-13112858.318897638</v>
      </c>
      <c r="G222" s="29">
        <f t="shared" ref="G222" si="131">G220-G128</f>
        <v>-4404781.25</v>
      </c>
      <c r="H222" s="29">
        <f t="shared" si="129"/>
        <v>-18070271.25</v>
      </c>
      <c r="I222" s="29">
        <f t="shared" si="129"/>
        <v>-66517.146456692368</v>
      </c>
      <c r="J222" s="29">
        <f t="shared" si="129"/>
        <v>1692956</v>
      </c>
    </row>
    <row r="223" spans="2:10">
      <c r="B223" t="s">
        <v>336</v>
      </c>
      <c r="D223" s="20"/>
      <c r="E223" s="20"/>
      <c r="F223" s="20"/>
      <c r="G223" s="20"/>
      <c r="H223" s="20"/>
      <c r="I223" s="20"/>
      <c r="J223" s="20"/>
    </row>
    <row r="224" spans="2:10">
      <c r="D224" s="32"/>
      <c r="E224" s="32"/>
      <c r="F224" s="32"/>
      <c r="G224" s="32"/>
      <c r="H224" s="32"/>
      <c r="I224" s="32"/>
      <c r="J224" s="32"/>
    </row>
    <row r="225" spans="2:10">
      <c r="D225" s="20"/>
      <c r="E225" s="20"/>
      <c r="F225" s="20"/>
      <c r="G225" s="20"/>
      <c r="H225" s="20"/>
      <c r="I225" s="20"/>
      <c r="J225" s="20"/>
    </row>
    <row r="226" spans="2:10">
      <c r="B226" t="s">
        <v>337</v>
      </c>
      <c r="C226" s="112">
        <v>1500000</v>
      </c>
      <c r="D226" s="20"/>
      <c r="E226" s="20"/>
      <c r="F226" s="20"/>
      <c r="G226" s="20"/>
      <c r="H226" s="20"/>
      <c r="I226" s="20"/>
      <c r="J226" s="20"/>
    </row>
    <row r="227" spans="2:10">
      <c r="B227" t="s">
        <v>338</v>
      </c>
      <c r="C227" s="112">
        <v>500000</v>
      </c>
      <c r="D227" s="33"/>
      <c r="E227" s="20"/>
    </row>
    <row r="228" spans="2:10">
      <c r="B228" t="s">
        <v>339</v>
      </c>
      <c r="C228" s="112">
        <v>500000</v>
      </c>
    </row>
    <row r="229" spans="2:10">
      <c r="B229" t="s">
        <v>340</v>
      </c>
      <c r="C229" s="112">
        <v>1000000</v>
      </c>
    </row>
    <row r="230" spans="2:10">
      <c r="B230" t="s">
        <v>341</v>
      </c>
      <c r="C230" s="112">
        <v>500000</v>
      </c>
    </row>
    <row r="231" spans="2:10">
      <c r="B231" t="s">
        <v>342</v>
      </c>
      <c r="C231" s="112">
        <v>300000</v>
      </c>
    </row>
    <row r="232" spans="2:10">
      <c r="B232" t="s">
        <v>343</v>
      </c>
      <c r="C232" s="112">
        <v>0</v>
      </c>
      <c r="D232" s="114">
        <f>SUM(C226:C232)</f>
        <v>4300000</v>
      </c>
      <c r="E232" t="s">
        <v>353</v>
      </c>
    </row>
    <row r="233" spans="2:10">
      <c r="B233" t="s">
        <v>344</v>
      </c>
      <c r="C233" s="112">
        <v>300000</v>
      </c>
    </row>
    <row r="234" spans="2:10">
      <c r="B234" t="s">
        <v>345</v>
      </c>
      <c r="C234" s="112">
        <v>100000</v>
      </c>
    </row>
    <row r="235" spans="2:10">
      <c r="B235" t="s">
        <v>346</v>
      </c>
      <c r="C235" s="112">
        <v>50000</v>
      </c>
    </row>
    <row r="236" spans="2:10">
      <c r="B236" t="s">
        <v>347</v>
      </c>
      <c r="C236" s="112">
        <v>50000</v>
      </c>
    </row>
    <row r="237" spans="2:10">
      <c r="C237" s="113">
        <f>SUM(C226:C236)</f>
        <v>4800000</v>
      </c>
    </row>
    <row r="238" spans="2:10">
      <c r="C238" s="113"/>
    </row>
    <row r="239" spans="2:10">
      <c r="B239" t="s">
        <v>350</v>
      </c>
      <c r="C239" s="112">
        <f>288000+120000+648000</f>
        <v>1056000</v>
      </c>
    </row>
    <row r="240" spans="2:10">
      <c r="B240" t="s">
        <v>351</v>
      </c>
      <c r="C240" s="112">
        <v>200000</v>
      </c>
    </row>
  </sheetData>
  <hyperlinks>
    <hyperlink ref="B59" r:id="rId1" location="sup203" display="http://www.opten.hu/loadpage.php?dest=OISZ&amp;twhich=214774&amp;srcid=ol4366 - sup203"/>
  </hyperlinks>
  <pageMargins left="0.4" right="0.38" top="0.68" bottom="0.62" header="0.51181102362204722" footer="0.51181102362204722"/>
  <pageSetup paperSize="9" scale="6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34"/>
  <sheetViews>
    <sheetView topLeftCell="A127" zoomScale="90" zoomScaleNormal="90" workbookViewId="0">
      <selection activeCell="D225" sqref="D225"/>
    </sheetView>
  </sheetViews>
  <sheetFormatPr defaultRowHeight="15"/>
  <cols>
    <col min="2" max="2" width="58.85546875" customWidth="1"/>
    <col min="3" max="3" width="19.85546875" customWidth="1"/>
    <col min="4" max="5" width="19.85546875" style="20" customWidth="1"/>
    <col min="6" max="6" width="13.140625" customWidth="1"/>
    <col min="7" max="7" width="13.28515625" customWidth="1"/>
  </cols>
  <sheetData>
    <row r="1" spans="2:6" ht="15.75">
      <c r="B1" s="1"/>
    </row>
    <row r="2" spans="2:6" ht="15.75">
      <c r="B2" s="1" t="s">
        <v>324</v>
      </c>
    </row>
    <row r="3" spans="2:6">
      <c r="C3" s="2" t="s">
        <v>0</v>
      </c>
      <c r="D3" s="21" t="s">
        <v>0</v>
      </c>
      <c r="E3" s="21" t="s">
        <v>0</v>
      </c>
    </row>
    <row r="4" spans="2:6" ht="31.5">
      <c r="B4" s="3" t="s">
        <v>1</v>
      </c>
      <c r="C4" s="17" t="s">
        <v>325</v>
      </c>
      <c r="D4" s="18" t="s">
        <v>203</v>
      </c>
      <c r="E4" s="18" t="s">
        <v>219</v>
      </c>
    </row>
    <row r="5" spans="2:6" ht="15.75">
      <c r="B5" s="7" t="s">
        <v>2</v>
      </c>
      <c r="C5" s="19">
        <f>SUM(D5:E5)</f>
        <v>67705000</v>
      </c>
      <c r="D5" s="22">
        <f>SUM(D6:D16)</f>
        <v>67705000</v>
      </c>
      <c r="E5" s="22">
        <f>E6+E7+E10+E12</f>
        <v>0</v>
      </c>
    </row>
    <row r="6" spans="2:6" ht="15.75">
      <c r="B6" s="4" t="s">
        <v>3</v>
      </c>
      <c r="C6" s="19">
        <f t="shared" ref="C6:C69" si="0">SUM(D6:E6)</f>
        <v>57507000</v>
      </c>
      <c r="D6" s="23">
        <v>57507000</v>
      </c>
      <c r="E6" s="23"/>
      <c r="F6" s="48"/>
    </row>
    <row r="7" spans="2:6" ht="15.75">
      <c r="B7" s="4" t="s">
        <v>4</v>
      </c>
      <c r="C7" s="19">
        <f t="shared" si="0"/>
        <v>4700000</v>
      </c>
      <c r="D7" s="23">
        <v>4700000</v>
      </c>
      <c r="E7" s="23"/>
      <c r="F7" s="48"/>
    </row>
    <row r="8" spans="2:6" ht="15.75">
      <c r="B8" s="4" t="s">
        <v>326</v>
      </c>
      <c r="C8" s="19">
        <f t="shared" si="0"/>
        <v>600000</v>
      </c>
      <c r="D8" s="23">
        <v>600000</v>
      </c>
      <c r="E8" s="23"/>
    </row>
    <row r="9" spans="2:6" ht="15.75">
      <c r="B9" s="4" t="s">
        <v>6</v>
      </c>
      <c r="C9" s="19">
        <f t="shared" si="0"/>
        <v>0</v>
      </c>
      <c r="D9" s="23">
        <v>0</v>
      </c>
      <c r="E9" s="23"/>
    </row>
    <row r="10" spans="2:6" ht="15.75">
      <c r="B10" s="4" t="s">
        <v>7</v>
      </c>
      <c r="C10" s="19">
        <f t="shared" si="0"/>
        <v>2800000</v>
      </c>
      <c r="D10" s="23">
        <f>200000*14</f>
        <v>2800000</v>
      </c>
      <c r="E10" s="23"/>
    </row>
    <row r="11" spans="2:6" ht="15.75">
      <c r="B11" s="4" t="s">
        <v>8</v>
      </c>
      <c r="C11" s="19">
        <f t="shared" si="0"/>
        <v>30000</v>
      </c>
      <c r="D11" s="23">
        <v>30000</v>
      </c>
      <c r="E11" s="23"/>
    </row>
    <row r="12" spans="2:6" ht="15.75">
      <c r="B12" s="4" t="s">
        <v>9</v>
      </c>
      <c r="C12" s="19">
        <f t="shared" si="0"/>
        <v>1000000</v>
      </c>
      <c r="D12" s="23">
        <v>1000000</v>
      </c>
      <c r="E12" s="23"/>
    </row>
    <row r="13" spans="2:6" ht="15.75">
      <c r="B13" s="4" t="s">
        <v>327</v>
      </c>
      <c r="C13" s="19">
        <f t="shared" si="0"/>
        <v>168000</v>
      </c>
      <c r="D13" s="23">
        <f>14*12000</f>
        <v>168000</v>
      </c>
      <c r="E13" s="23"/>
    </row>
    <row r="14" spans="2:6" ht="15.75">
      <c r="B14" s="4" t="s">
        <v>11</v>
      </c>
      <c r="C14" s="19">
        <f t="shared" si="0"/>
        <v>0</v>
      </c>
      <c r="D14" s="23">
        <v>0</v>
      </c>
      <c r="E14" s="23"/>
    </row>
    <row r="15" spans="2:6" ht="15.75">
      <c r="B15" s="4" t="s">
        <v>12</v>
      </c>
      <c r="C15" s="19">
        <f t="shared" si="0"/>
        <v>300000</v>
      </c>
      <c r="D15" s="23">
        <v>300000</v>
      </c>
      <c r="E15" s="23"/>
    </row>
    <row r="16" spans="2:6" ht="15.75">
      <c r="B16" s="4" t="s">
        <v>13</v>
      </c>
      <c r="C16" s="19">
        <f t="shared" si="0"/>
        <v>600000</v>
      </c>
      <c r="D16" s="23">
        <v>600000</v>
      </c>
      <c r="E16" s="23"/>
    </row>
    <row r="17" spans="2:5" ht="15.75">
      <c r="B17" s="7" t="s">
        <v>14</v>
      </c>
      <c r="C17" s="19">
        <f t="shared" si="0"/>
        <v>0</v>
      </c>
      <c r="D17" s="22">
        <f>SUM(D18:D20)</f>
        <v>0</v>
      </c>
      <c r="E17" s="22">
        <f>E18+E19</f>
        <v>0</v>
      </c>
    </row>
    <row r="18" spans="2:5" ht="15.75">
      <c r="B18" s="4" t="s">
        <v>15</v>
      </c>
      <c r="C18" s="19">
        <f t="shared" si="0"/>
        <v>0</v>
      </c>
      <c r="D18" s="23">
        <v>0</v>
      </c>
      <c r="E18" s="23"/>
    </row>
    <row r="19" spans="2:5" ht="35.450000000000003" customHeight="1">
      <c r="B19" s="5" t="s">
        <v>16</v>
      </c>
      <c r="C19" s="19">
        <f t="shared" si="0"/>
        <v>0</v>
      </c>
      <c r="D19" s="23">
        <v>0</v>
      </c>
      <c r="E19" s="23"/>
    </row>
    <row r="20" spans="2:5" ht="15.75">
      <c r="B20" s="4" t="s">
        <v>17</v>
      </c>
      <c r="C20" s="19">
        <f t="shared" si="0"/>
        <v>0</v>
      </c>
      <c r="D20" s="23">
        <v>0</v>
      </c>
      <c r="E20" s="23">
        <v>0</v>
      </c>
    </row>
    <row r="21" spans="2:5" ht="15.75">
      <c r="B21" s="6" t="s">
        <v>18</v>
      </c>
      <c r="C21" s="19">
        <f>SUM(D21:E21)</f>
        <v>67705000</v>
      </c>
      <c r="D21" s="22">
        <f>D5+D17</f>
        <v>67705000</v>
      </c>
      <c r="E21" s="22">
        <f>E5+E17</f>
        <v>0</v>
      </c>
    </row>
    <row r="22" spans="2:5" ht="15.75">
      <c r="B22" s="6" t="s">
        <v>19</v>
      </c>
      <c r="C22" s="19">
        <f t="shared" si="0"/>
        <v>12011475</v>
      </c>
      <c r="D22" s="22">
        <f>D23+D24+D25</f>
        <v>12011475</v>
      </c>
      <c r="E22" s="22">
        <f>E23+E24+E25</f>
        <v>0</v>
      </c>
    </row>
    <row r="23" spans="2:5" ht="15.75">
      <c r="B23" s="28" t="s">
        <v>205</v>
      </c>
      <c r="C23" s="19">
        <f t="shared" si="0"/>
        <v>11591475</v>
      </c>
      <c r="D23" s="23">
        <f>(D21-D12-D15-D13)*0.175</f>
        <v>11591475</v>
      </c>
      <c r="E23" s="23">
        <f>E21*0.195</f>
        <v>0</v>
      </c>
    </row>
    <row r="24" spans="2:5" ht="15.75">
      <c r="B24" s="28" t="s">
        <v>206</v>
      </c>
      <c r="C24" s="19">
        <f t="shared" si="0"/>
        <v>0</v>
      </c>
      <c r="D24" s="23">
        <v>0</v>
      </c>
      <c r="E24" s="23">
        <f>E10*1.18*0.14</f>
        <v>0</v>
      </c>
    </row>
    <row r="25" spans="2:5" ht="15.75">
      <c r="B25" s="28" t="s">
        <v>207</v>
      </c>
      <c r="C25" s="19">
        <f t="shared" si="0"/>
        <v>420000</v>
      </c>
      <c r="D25" s="23">
        <f>D10*0.15</f>
        <v>420000</v>
      </c>
      <c r="E25" s="23">
        <f>E10*1.18*0.15</f>
        <v>0</v>
      </c>
    </row>
    <row r="26" spans="2:5" ht="15.75">
      <c r="B26" s="7" t="s">
        <v>20</v>
      </c>
      <c r="C26" s="19">
        <f t="shared" si="0"/>
        <v>200000</v>
      </c>
      <c r="D26" s="22">
        <f>D27+D28+D29</f>
        <v>200000</v>
      </c>
      <c r="E26" s="22">
        <f>E27+E28+E29</f>
        <v>0</v>
      </c>
    </row>
    <row r="27" spans="2:5" ht="15.75">
      <c r="B27" s="4" t="s">
        <v>21</v>
      </c>
      <c r="C27" s="19">
        <f t="shared" si="0"/>
        <v>0</v>
      </c>
      <c r="D27" s="23">
        <v>0</v>
      </c>
      <c r="E27" s="23">
        <v>0</v>
      </c>
    </row>
    <row r="28" spans="2:5" ht="15.75">
      <c r="B28" s="4" t="s">
        <v>204</v>
      </c>
      <c r="C28" s="19">
        <f t="shared" si="0"/>
        <v>200000</v>
      </c>
      <c r="D28" s="23">
        <v>200000</v>
      </c>
      <c r="E28" s="23"/>
    </row>
    <row r="29" spans="2:5" ht="15.75">
      <c r="B29" s="4" t="s">
        <v>22</v>
      </c>
      <c r="C29" s="19">
        <f t="shared" si="0"/>
        <v>0</v>
      </c>
      <c r="D29" s="23">
        <v>0</v>
      </c>
      <c r="E29" s="23">
        <v>0</v>
      </c>
    </row>
    <row r="30" spans="2:5" ht="15.75">
      <c r="B30" s="7" t="s">
        <v>23</v>
      </c>
      <c r="C30" s="19">
        <f t="shared" si="0"/>
        <v>350000</v>
      </c>
      <c r="D30" s="22">
        <f>D31+D32</f>
        <v>350000</v>
      </c>
      <c r="E30" s="22">
        <f>E31+E32</f>
        <v>0</v>
      </c>
    </row>
    <row r="31" spans="2:5" ht="15.75">
      <c r="B31" s="4" t="s">
        <v>24</v>
      </c>
      <c r="C31" s="19">
        <f t="shared" si="0"/>
        <v>0</v>
      </c>
      <c r="D31" s="23">
        <v>0</v>
      </c>
      <c r="E31" s="23">
        <v>0</v>
      </c>
    </row>
    <row r="32" spans="2:5" ht="15.75">
      <c r="B32" s="4" t="s">
        <v>208</v>
      </c>
      <c r="C32" s="19">
        <f t="shared" si="0"/>
        <v>350000</v>
      </c>
      <c r="D32" s="23">
        <v>350000</v>
      </c>
      <c r="E32" s="23"/>
    </row>
    <row r="33" spans="2:5" ht="15.75">
      <c r="B33" s="7" t="s">
        <v>25</v>
      </c>
      <c r="C33" s="19">
        <f t="shared" si="0"/>
        <v>500000</v>
      </c>
      <c r="D33" s="22">
        <f>D34+D35+D36+D37+D38+D39+D40</f>
        <v>500000</v>
      </c>
      <c r="E33" s="22">
        <f>E34+E35+E36+E37+E38+E39+E40</f>
        <v>0</v>
      </c>
    </row>
    <row r="34" spans="2:5" ht="15.75">
      <c r="B34" s="4" t="s">
        <v>26</v>
      </c>
      <c r="C34" s="19">
        <f t="shared" si="0"/>
        <v>0</v>
      </c>
      <c r="D34" s="23">
        <v>0</v>
      </c>
      <c r="E34" s="23">
        <v>0</v>
      </c>
    </row>
    <row r="35" spans="2:5" ht="15.75">
      <c r="B35" s="4" t="s">
        <v>27</v>
      </c>
      <c r="C35" s="19">
        <f t="shared" si="0"/>
        <v>0</v>
      </c>
      <c r="D35" s="23">
        <v>0</v>
      </c>
      <c r="E35" s="23">
        <v>0</v>
      </c>
    </row>
    <row r="36" spans="2:5" ht="15.75">
      <c r="B36" s="4" t="s">
        <v>28</v>
      </c>
      <c r="C36" s="19">
        <f t="shared" si="0"/>
        <v>0</v>
      </c>
      <c r="D36" s="23">
        <v>0</v>
      </c>
      <c r="E36" s="23">
        <v>0</v>
      </c>
    </row>
    <row r="37" spans="2:5" ht="15.75">
      <c r="B37" s="4" t="s">
        <v>29</v>
      </c>
      <c r="C37" s="19">
        <f t="shared" si="0"/>
        <v>0</v>
      </c>
      <c r="D37" s="23">
        <v>0</v>
      </c>
      <c r="E37" s="23">
        <v>0</v>
      </c>
    </row>
    <row r="38" spans="2:5" ht="15.75">
      <c r="B38" s="4" t="s">
        <v>30</v>
      </c>
      <c r="C38" s="19">
        <f t="shared" si="0"/>
        <v>0</v>
      </c>
      <c r="D38" s="23">
        <v>0</v>
      </c>
      <c r="E38" s="23">
        <v>0</v>
      </c>
    </row>
    <row r="39" spans="2:5" ht="15.75">
      <c r="B39" s="4" t="s">
        <v>31</v>
      </c>
      <c r="C39" s="19">
        <f t="shared" si="0"/>
        <v>0</v>
      </c>
      <c r="D39" s="23">
        <v>0</v>
      </c>
      <c r="E39" s="23">
        <v>0</v>
      </c>
    </row>
    <row r="40" spans="2:5" ht="15.75">
      <c r="B40" s="8" t="s">
        <v>209</v>
      </c>
      <c r="C40" s="19">
        <f t="shared" si="0"/>
        <v>500000</v>
      </c>
      <c r="D40" s="24">
        <v>500000</v>
      </c>
      <c r="E40" s="24"/>
    </row>
    <row r="41" spans="2:5" ht="15.75">
      <c r="B41" s="7" t="s">
        <v>32</v>
      </c>
      <c r="C41" s="19">
        <f t="shared" si="0"/>
        <v>100000</v>
      </c>
      <c r="D41" s="22">
        <f>D42+D43</f>
        <v>100000</v>
      </c>
      <c r="E41" s="22">
        <f>E42+E43</f>
        <v>0</v>
      </c>
    </row>
    <row r="42" spans="2:5" ht="15.75">
      <c r="B42" s="4" t="s">
        <v>33</v>
      </c>
      <c r="C42" s="19">
        <f t="shared" si="0"/>
        <v>100000</v>
      </c>
      <c r="D42" s="23">
        <v>100000</v>
      </c>
      <c r="E42" s="23"/>
    </row>
    <row r="43" spans="2:5" ht="15.75">
      <c r="B43" s="4" t="s">
        <v>34</v>
      </c>
      <c r="C43" s="19">
        <f t="shared" si="0"/>
        <v>0</v>
      </c>
      <c r="D43" s="23">
        <v>0</v>
      </c>
      <c r="E43" s="23">
        <v>0</v>
      </c>
    </row>
    <row r="44" spans="2:5" ht="15.75">
      <c r="B44" s="7" t="s">
        <v>35</v>
      </c>
      <c r="C44" s="19">
        <f t="shared" si="0"/>
        <v>733500</v>
      </c>
      <c r="D44" s="22">
        <f>D45+D46+D47+D48+D49</f>
        <v>733500</v>
      </c>
      <c r="E44" s="22">
        <f>E45+E46+E47+E48+E49</f>
        <v>0</v>
      </c>
    </row>
    <row r="45" spans="2:5" ht="15.75">
      <c r="B45" s="4" t="s">
        <v>36</v>
      </c>
      <c r="C45" s="19">
        <f t="shared" si="0"/>
        <v>283500</v>
      </c>
      <c r="D45" s="24">
        <f>(D33+D30+D26)*0.27</f>
        <v>283500</v>
      </c>
      <c r="E45" s="24">
        <f>(E33+E30+E26)*0.27</f>
        <v>0</v>
      </c>
    </row>
    <row r="46" spans="2:5" ht="15.75">
      <c r="B46" s="4" t="s">
        <v>37</v>
      </c>
      <c r="C46" s="19">
        <f t="shared" si="0"/>
        <v>0</v>
      </c>
      <c r="D46" s="23">
        <v>0</v>
      </c>
      <c r="E46" s="23">
        <v>0</v>
      </c>
    </row>
    <row r="47" spans="2:5" ht="15.75">
      <c r="B47" s="4" t="s">
        <v>38</v>
      </c>
      <c r="C47" s="19">
        <f t="shared" si="0"/>
        <v>0</v>
      </c>
      <c r="D47" s="23">
        <v>0</v>
      </c>
      <c r="E47" s="23">
        <v>0</v>
      </c>
    </row>
    <row r="48" spans="2:5" ht="15.75">
      <c r="B48" s="4" t="s">
        <v>39</v>
      </c>
      <c r="C48" s="19">
        <f t="shared" si="0"/>
        <v>0</v>
      </c>
      <c r="D48" s="23">
        <v>0</v>
      </c>
      <c r="E48" s="23">
        <v>0</v>
      </c>
    </row>
    <row r="49" spans="2:5" ht="15.75">
      <c r="B49" s="4" t="s">
        <v>210</v>
      </c>
      <c r="C49" s="19">
        <f t="shared" si="0"/>
        <v>450000</v>
      </c>
      <c r="D49" s="23">
        <v>450000</v>
      </c>
      <c r="E49" s="23"/>
    </row>
    <row r="50" spans="2:5" ht="15.75">
      <c r="B50" s="6" t="s">
        <v>40</v>
      </c>
      <c r="C50" s="19">
        <f t="shared" si="0"/>
        <v>1883500</v>
      </c>
      <c r="D50" s="22">
        <f>D26+D30+D33+D41+D44</f>
        <v>1883500</v>
      </c>
      <c r="E50" s="22">
        <f>E26+E30+E33+E41+E44</f>
        <v>0</v>
      </c>
    </row>
    <row r="51" spans="2:5" ht="15.75">
      <c r="B51" s="4" t="s">
        <v>41</v>
      </c>
      <c r="C51" s="19">
        <f t="shared" si="0"/>
        <v>0</v>
      </c>
      <c r="D51" s="23">
        <f>'[1]1 számú melléklet'!F50</f>
        <v>0</v>
      </c>
      <c r="E51" s="23">
        <v>0</v>
      </c>
    </row>
    <row r="52" spans="2:5" ht="15.75">
      <c r="B52" s="4" t="s">
        <v>42</v>
      </c>
      <c r="C52" s="19">
        <f t="shared" si="0"/>
        <v>0</v>
      </c>
      <c r="D52" s="23">
        <f>'[1]1 számú melléklet'!F51</f>
        <v>0</v>
      </c>
      <c r="E52" s="23">
        <v>0</v>
      </c>
    </row>
    <row r="53" spans="2:5" ht="15.75">
      <c r="B53" s="9" t="s">
        <v>43</v>
      </c>
      <c r="C53" s="19">
        <f t="shared" si="0"/>
        <v>0</v>
      </c>
      <c r="D53" s="23">
        <f>'[1]1 számú melléklet'!F52</f>
        <v>0</v>
      </c>
      <c r="E53" s="23">
        <v>0</v>
      </c>
    </row>
    <row r="54" spans="2:5" ht="15.75">
      <c r="B54" s="4" t="s">
        <v>44</v>
      </c>
      <c r="C54" s="19">
        <f t="shared" si="0"/>
        <v>0</v>
      </c>
      <c r="D54" s="23">
        <f>'[1]1 számú melléklet'!F53</f>
        <v>0</v>
      </c>
      <c r="E54" s="23">
        <v>0</v>
      </c>
    </row>
    <row r="55" spans="2:5" ht="15.75">
      <c r="B55" s="4" t="s">
        <v>45</v>
      </c>
      <c r="C55" s="19">
        <f t="shared" si="0"/>
        <v>0</v>
      </c>
      <c r="D55" s="23">
        <f>'[1]1 számú melléklet'!F54</f>
        <v>0</v>
      </c>
      <c r="E55" s="23">
        <v>0</v>
      </c>
    </row>
    <row r="56" spans="2:5" ht="15.75">
      <c r="B56" s="4" t="s">
        <v>46</v>
      </c>
      <c r="C56" s="19">
        <f t="shared" si="0"/>
        <v>0</v>
      </c>
      <c r="D56" s="23">
        <f>'[1]1 számú melléklet'!F55</f>
        <v>0</v>
      </c>
      <c r="E56" s="23">
        <v>0</v>
      </c>
    </row>
    <row r="57" spans="2:5" ht="15.75">
      <c r="B57" s="4" t="s">
        <v>47</v>
      </c>
      <c r="C57" s="19">
        <f t="shared" si="0"/>
        <v>0</v>
      </c>
      <c r="D57" s="23">
        <v>0</v>
      </c>
      <c r="E57" s="23">
        <v>0</v>
      </c>
    </row>
    <row r="58" spans="2:5" ht="15.75">
      <c r="B58" s="4" t="s">
        <v>48</v>
      </c>
      <c r="C58" s="19">
        <f t="shared" si="0"/>
        <v>0</v>
      </c>
      <c r="D58" s="23">
        <v>0</v>
      </c>
      <c r="E58" s="23">
        <v>0</v>
      </c>
    </row>
    <row r="59" spans="2:5" ht="15.75">
      <c r="B59" s="6" t="s">
        <v>49</v>
      </c>
      <c r="C59" s="19">
        <f t="shared" si="0"/>
        <v>0</v>
      </c>
      <c r="D59" s="22">
        <f>SUM(D51:D58)</f>
        <v>0</v>
      </c>
      <c r="E59" s="22">
        <f>SUM(E51:E58)</f>
        <v>0</v>
      </c>
    </row>
    <row r="60" spans="2:5" ht="15.75">
      <c r="B60" s="4" t="s">
        <v>50</v>
      </c>
      <c r="C60" s="19">
        <f t="shared" si="0"/>
        <v>0</v>
      </c>
      <c r="D60" s="23">
        <f>'[1]1 számú melléklet'!F59</f>
        <v>0</v>
      </c>
      <c r="E60" s="23">
        <v>0</v>
      </c>
    </row>
    <row r="61" spans="2:5" ht="15.75">
      <c r="B61" s="4" t="s">
        <v>51</v>
      </c>
      <c r="C61" s="19">
        <f t="shared" si="0"/>
        <v>0</v>
      </c>
      <c r="D61" s="23">
        <f>'[1]1 számú melléklet'!F60</f>
        <v>0</v>
      </c>
      <c r="E61" s="23">
        <v>0</v>
      </c>
    </row>
    <row r="62" spans="2:5" ht="15.75">
      <c r="B62" s="4" t="s">
        <v>52</v>
      </c>
      <c r="C62" s="19">
        <f t="shared" si="0"/>
        <v>0</v>
      </c>
      <c r="D62" s="23">
        <f>'[1]1 számú melléklet'!F61</f>
        <v>0</v>
      </c>
      <c r="E62" s="23">
        <v>0</v>
      </c>
    </row>
    <row r="63" spans="2:5" ht="15.75">
      <c r="B63" s="4" t="s">
        <v>53</v>
      </c>
      <c r="C63" s="19">
        <f t="shared" si="0"/>
        <v>0</v>
      </c>
      <c r="D63" s="23">
        <f>'[1]1 számú melléklet'!F62</f>
        <v>0</v>
      </c>
      <c r="E63" s="23">
        <v>0</v>
      </c>
    </row>
    <row r="64" spans="2:5" ht="15.75">
      <c r="B64" s="4" t="s">
        <v>54</v>
      </c>
      <c r="C64" s="19">
        <f t="shared" si="0"/>
        <v>0</v>
      </c>
      <c r="D64" s="23">
        <f>'[1]1 számú melléklet'!F63</f>
        <v>0</v>
      </c>
      <c r="E64" s="23">
        <v>0</v>
      </c>
    </row>
    <row r="65" spans="2:5" ht="15.75">
      <c r="B65" s="4" t="s">
        <v>55</v>
      </c>
      <c r="C65" s="19">
        <f t="shared" si="0"/>
        <v>0</v>
      </c>
      <c r="D65" s="23">
        <v>0</v>
      </c>
      <c r="E65" s="23">
        <v>0</v>
      </c>
    </row>
    <row r="66" spans="2:5" ht="15.75">
      <c r="B66" s="4" t="s">
        <v>56</v>
      </c>
      <c r="C66" s="19">
        <f t="shared" si="0"/>
        <v>0</v>
      </c>
      <c r="D66" s="23">
        <f>'[1]1 számú melléklet'!F65</f>
        <v>0</v>
      </c>
      <c r="E66" s="23">
        <v>0</v>
      </c>
    </row>
    <row r="67" spans="2:5" ht="15.75">
      <c r="B67" s="4" t="s">
        <v>57</v>
      </c>
      <c r="C67" s="19">
        <f t="shared" si="0"/>
        <v>0</v>
      </c>
      <c r="D67" s="23">
        <f>'[1]1 számú melléklet'!F66</f>
        <v>0</v>
      </c>
      <c r="E67" s="23">
        <v>0</v>
      </c>
    </row>
    <row r="68" spans="2:5" ht="15.75">
      <c r="B68" s="4" t="s">
        <v>58</v>
      </c>
      <c r="C68" s="19">
        <f t="shared" si="0"/>
        <v>0</v>
      </c>
      <c r="D68" s="23">
        <f>'[1]1 számú melléklet'!F67</f>
        <v>0</v>
      </c>
      <c r="E68" s="23">
        <v>0</v>
      </c>
    </row>
    <row r="69" spans="2:5" ht="15.75">
      <c r="B69" s="4" t="s">
        <v>59</v>
      </c>
      <c r="C69" s="19">
        <f t="shared" si="0"/>
        <v>0</v>
      </c>
      <c r="D69" s="23">
        <f>'[1]1 számú melléklet'!F68</f>
        <v>0</v>
      </c>
      <c r="E69" s="23">
        <v>0</v>
      </c>
    </row>
    <row r="70" spans="2:5" ht="15.75">
      <c r="B70" s="4" t="s">
        <v>60</v>
      </c>
      <c r="C70" s="19">
        <f t="shared" ref="C70:C133" si="1">SUM(D70:E70)</f>
        <v>0</v>
      </c>
      <c r="D70" s="23">
        <v>0</v>
      </c>
      <c r="E70" s="23">
        <v>0</v>
      </c>
    </row>
    <row r="71" spans="2:5" ht="15.75">
      <c r="B71" s="4" t="s">
        <v>61</v>
      </c>
      <c r="C71" s="19">
        <f t="shared" si="1"/>
        <v>0</v>
      </c>
      <c r="D71" s="23">
        <f>'[1]1 számú melléklet'!F70</f>
        <v>0</v>
      </c>
      <c r="E71" s="23">
        <v>0</v>
      </c>
    </row>
    <row r="72" spans="2:5" ht="15.75">
      <c r="B72" s="4" t="s">
        <v>62</v>
      </c>
      <c r="C72" s="19">
        <f t="shared" si="1"/>
        <v>0</v>
      </c>
      <c r="D72" s="23">
        <v>0</v>
      </c>
      <c r="E72" s="23">
        <v>0</v>
      </c>
    </row>
    <row r="73" spans="2:5" ht="15.75">
      <c r="B73" s="6" t="s">
        <v>63</v>
      </c>
      <c r="C73" s="19">
        <f t="shared" si="1"/>
        <v>0</v>
      </c>
      <c r="D73" s="22">
        <f>SUM(D60:D72)</f>
        <v>0</v>
      </c>
      <c r="E73" s="22">
        <f>SUM(E60:E72)</f>
        <v>0</v>
      </c>
    </row>
    <row r="74" spans="2:5" ht="15.75">
      <c r="B74" s="10" t="s">
        <v>64</v>
      </c>
      <c r="C74" s="19">
        <f t="shared" si="1"/>
        <v>81599975</v>
      </c>
      <c r="D74" s="22">
        <f>D21+D22+D50+D59+D73</f>
        <v>81599975</v>
      </c>
      <c r="E74" s="22">
        <f>E21+E22+E50+E59+E73</f>
        <v>0</v>
      </c>
    </row>
    <row r="75" spans="2:5" ht="15.75">
      <c r="B75" s="4" t="s">
        <v>65</v>
      </c>
      <c r="C75" s="19">
        <f t="shared" si="1"/>
        <v>0</v>
      </c>
      <c r="D75" s="23">
        <v>0</v>
      </c>
      <c r="E75" s="23">
        <v>0</v>
      </c>
    </row>
    <row r="76" spans="2:5" ht="15.75">
      <c r="B76" s="4" t="s">
        <v>66</v>
      </c>
      <c r="C76" s="19">
        <f t="shared" si="1"/>
        <v>0</v>
      </c>
      <c r="D76" s="23">
        <f>'[1]1 számú melléklet'!F75</f>
        <v>0</v>
      </c>
      <c r="E76" s="23">
        <v>0</v>
      </c>
    </row>
    <row r="77" spans="2:5" ht="15.75">
      <c r="B77" s="4" t="s">
        <v>67</v>
      </c>
      <c r="C77" s="19">
        <f t="shared" si="1"/>
        <v>0</v>
      </c>
      <c r="D77" s="23">
        <v>0</v>
      </c>
      <c r="E77" s="23">
        <v>0</v>
      </c>
    </row>
    <row r="78" spans="2:5" ht="15.75">
      <c r="B78" s="4" t="s">
        <v>68</v>
      </c>
      <c r="C78" s="19">
        <f t="shared" si="1"/>
        <v>0</v>
      </c>
      <c r="D78" s="23">
        <v>0</v>
      </c>
      <c r="E78" s="23">
        <v>0</v>
      </c>
    </row>
    <row r="79" spans="2:5" ht="15.75">
      <c r="B79" s="4" t="s">
        <v>69</v>
      </c>
      <c r="C79" s="19">
        <f t="shared" si="1"/>
        <v>0</v>
      </c>
      <c r="D79" s="23">
        <f>'[1]1 számú melléklet'!F78</f>
        <v>0</v>
      </c>
      <c r="E79" s="23">
        <v>0</v>
      </c>
    </row>
    <row r="80" spans="2:5" ht="15.75">
      <c r="B80" s="4" t="s">
        <v>70</v>
      </c>
      <c r="C80" s="19">
        <f t="shared" si="1"/>
        <v>0</v>
      </c>
      <c r="D80" s="23">
        <f>'[1]1 számú melléklet'!F79</f>
        <v>0</v>
      </c>
      <c r="E80" s="23">
        <v>0</v>
      </c>
    </row>
    <row r="81" spans="2:5" ht="15.75">
      <c r="B81" s="4" t="s">
        <v>71</v>
      </c>
      <c r="C81" s="19">
        <f t="shared" si="1"/>
        <v>0</v>
      </c>
      <c r="D81" s="23">
        <v>0</v>
      </c>
      <c r="E81" s="23">
        <v>0</v>
      </c>
    </row>
    <row r="82" spans="2:5" ht="15.75">
      <c r="B82" s="6" t="s">
        <v>72</v>
      </c>
      <c r="C82" s="19">
        <f t="shared" si="1"/>
        <v>0</v>
      </c>
      <c r="D82" s="22">
        <f>SUM(D75:D81)</f>
        <v>0</v>
      </c>
      <c r="E82" s="22">
        <f>SUM(E75:E81)</f>
        <v>0</v>
      </c>
    </row>
    <row r="83" spans="2:5" ht="15.75">
      <c r="B83" s="4" t="s">
        <v>73</v>
      </c>
      <c r="C83" s="19">
        <f t="shared" si="1"/>
        <v>0</v>
      </c>
      <c r="D83" s="23">
        <f>'[1]1 számú melléklet'!F82</f>
        <v>0</v>
      </c>
      <c r="E83" s="23">
        <v>0</v>
      </c>
    </row>
    <row r="84" spans="2:5" ht="15.75">
      <c r="B84" s="4" t="s">
        <v>74</v>
      </c>
      <c r="C84" s="19">
        <f t="shared" si="1"/>
        <v>0</v>
      </c>
      <c r="D84" s="23">
        <f>'[1]1 számú melléklet'!F83</f>
        <v>0</v>
      </c>
      <c r="E84" s="23">
        <v>0</v>
      </c>
    </row>
    <row r="85" spans="2:5" ht="15.75">
      <c r="B85" s="4" t="s">
        <v>75</v>
      </c>
      <c r="C85" s="19">
        <f t="shared" si="1"/>
        <v>0</v>
      </c>
      <c r="D85" s="23">
        <v>0</v>
      </c>
      <c r="E85" s="23">
        <v>0</v>
      </c>
    </row>
    <row r="86" spans="2:5" ht="15.75">
      <c r="B86" s="4" t="s">
        <v>76</v>
      </c>
      <c r="C86" s="19">
        <f t="shared" si="1"/>
        <v>0</v>
      </c>
      <c r="D86" s="23">
        <v>0</v>
      </c>
      <c r="E86" s="23">
        <v>0</v>
      </c>
    </row>
    <row r="87" spans="2:5" ht="15.75">
      <c r="B87" s="6" t="s">
        <v>77</v>
      </c>
      <c r="C87" s="19">
        <f t="shared" si="1"/>
        <v>0</v>
      </c>
      <c r="D87" s="22">
        <f>SUM(D83:D86)</f>
        <v>0</v>
      </c>
      <c r="E87" s="22">
        <f>SUM(E83:E86)</f>
        <v>0</v>
      </c>
    </row>
    <row r="88" spans="2:5" ht="15.75">
      <c r="B88" s="4" t="s">
        <v>78</v>
      </c>
      <c r="C88" s="19">
        <f t="shared" si="1"/>
        <v>0</v>
      </c>
      <c r="D88" s="23">
        <v>0</v>
      </c>
      <c r="E88" s="23">
        <v>0</v>
      </c>
    </row>
    <row r="89" spans="2:5" ht="15.75">
      <c r="B89" s="4" t="s">
        <v>79</v>
      </c>
      <c r="C89" s="19">
        <f t="shared" si="1"/>
        <v>0</v>
      </c>
      <c r="D89" s="23">
        <v>0</v>
      </c>
      <c r="E89" s="23">
        <v>0</v>
      </c>
    </row>
    <row r="90" spans="2:5" ht="15.75">
      <c r="B90" s="4" t="s">
        <v>80</v>
      </c>
      <c r="C90" s="19">
        <f t="shared" si="1"/>
        <v>0</v>
      </c>
      <c r="D90" s="23">
        <v>0</v>
      </c>
      <c r="E90" s="23">
        <v>0</v>
      </c>
    </row>
    <row r="91" spans="2:5" ht="15.75">
      <c r="B91" s="4" t="s">
        <v>81</v>
      </c>
      <c r="C91" s="19">
        <f t="shared" si="1"/>
        <v>0</v>
      </c>
      <c r="D91" s="23">
        <v>0</v>
      </c>
      <c r="E91" s="23">
        <v>0</v>
      </c>
    </row>
    <row r="92" spans="2:5" ht="15.75">
      <c r="B92" s="4" t="s">
        <v>82</v>
      </c>
      <c r="C92" s="19">
        <f t="shared" si="1"/>
        <v>0</v>
      </c>
      <c r="D92" s="23">
        <v>0</v>
      </c>
      <c r="E92" s="23">
        <v>0</v>
      </c>
    </row>
    <row r="93" spans="2:5" ht="15.75">
      <c r="B93" s="4" t="s">
        <v>83</v>
      </c>
      <c r="C93" s="19">
        <f t="shared" si="1"/>
        <v>0</v>
      </c>
      <c r="D93" s="23">
        <v>0</v>
      </c>
      <c r="E93" s="23">
        <v>0</v>
      </c>
    </row>
    <row r="94" spans="2:5" ht="15.75">
      <c r="B94" s="4" t="s">
        <v>84</v>
      </c>
      <c r="C94" s="19">
        <f t="shared" si="1"/>
        <v>0</v>
      </c>
      <c r="D94" s="23">
        <v>0</v>
      </c>
      <c r="E94" s="23">
        <v>0</v>
      </c>
    </row>
    <row r="95" spans="2:5" ht="15.75">
      <c r="B95" s="4" t="s">
        <v>85</v>
      </c>
      <c r="C95" s="19">
        <f t="shared" si="1"/>
        <v>0</v>
      </c>
      <c r="D95" s="23">
        <v>0</v>
      </c>
      <c r="E95" s="23">
        <v>0</v>
      </c>
    </row>
    <row r="96" spans="2:5" ht="15.75">
      <c r="B96" s="6" t="s">
        <v>86</v>
      </c>
      <c r="C96" s="19">
        <f t="shared" si="1"/>
        <v>0</v>
      </c>
      <c r="D96" s="22">
        <v>0</v>
      </c>
      <c r="E96" s="22">
        <v>0</v>
      </c>
    </row>
    <row r="97" spans="2:5" ht="15.75">
      <c r="B97" s="10" t="s">
        <v>87</v>
      </c>
      <c r="C97" s="19">
        <f t="shared" si="1"/>
        <v>0</v>
      </c>
      <c r="D97" s="22">
        <f>D82+D87+D96</f>
        <v>0</v>
      </c>
      <c r="E97" s="22">
        <f>E82+E87+E96</f>
        <v>0</v>
      </c>
    </row>
    <row r="98" spans="2:5" ht="18.75">
      <c r="B98" s="11" t="s">
        <v>88</v>
      </c>
      <c r="C98" s="19">
        <f t="shared" si="1"/>
        <v>81599975</v>
      </c>
      <c r="D98" s="25">
        <f>D21+D22+D50+D59+D73+D82+D87+D96</f>
        <v>81599975</v>
      </c>
      <c r="E98" s="25">
        <f>E21+E22+E50+E59+E73+E82+E87+E96</f>
        <v>0</v>
      </c>
    </row>
    <row r="99" spans="2:5" ht="15.75">
      <c r="B99" s="4" t="s">
        <v>89</v>
      </c>
      <c r="C99" s="19">
        <f t="shared" si="1"/>
        <v>0</v>
      </c>
      <c r="D99" s="23">
        <v>0</v>
      </c>
      <c r="E99" s="23">
        <v>0</v>
      </c>
    </row>
    <row r="100" spans="2:5" ht="15.75">
      <c r="B100" s="4" t="s">
        <v>90</v>
      </c>
      <c r="C100" s="19">
        <f t="shared" si="1"/>
        <v>0</v>
      </c>
      <c r="D100" s="23">
        <v>0</v>
      </c>
      <c r="E100" s="23">
        <v>0</v>
      </c>
    </row>
    <row r="101" spans="2:5" ht="15.75">
      <c r="B101" s="4" t="s">
        <v>91</v>
      </c>
      <c r="C101" s="19">
        <f t="shared" si="1"/>
        <v>0</v>
      </c>
      <c r="D101" s="23">
        <v>0</v>
      </c>
      <c r="E101" s="23">
        <v>0</v>
      </c>
    </row>
    <row r="102" spans="2:5" ht="15.75">
      <c r="B102" s="4" t="s">
        <v>92</v>
      </c>
      <c r="C102" s="19">
        <f t="shared" si="1"/>
        <v>0</v>
      </c>
      <c r="D102" s="23">
        <v>0</v>
      </c>
      <c r="E102" s="23">
        <v>0</v>
      </c>
    </row>
    <row r="103" spans="2:5" ht="15.75">
      <c r="B103" s="4" t="s">
        <v>93</v>
      </c>
      <c r="C103" s="19">
        <f t="shared" si="1"/>
        <v>0</v>
      </c>
      <c r="D103" s="23">
        <v>0</v>
      </c>
      <c r="E103" s="23">
        <v>0</v>
      </c>
    </row>
    <row r="104" spans="2:5" ht="15.75">
      <c r="B104" s="4" t="s">
        <v>94</v>
      </c>
      <c r="C104" s="19">
        <f t="shared" si="1"/>
        <v>0</v>
      </c>
      <c r="D104" s="23">
        <v>0</v>
      </c>
      <c r="E104" s="23">
        <v>0</v>
      </c>
    </row>
    <row r="105" spans="2:5" ht="15.75">
      <c r="B105" s="4" t="s">
        <v>95</v>
      </c>
      <c r="C105" s="19">
        <f t="shared" si="1"/>
        <v>0</v>
      </c>
      <c r="D105" s="23">
        <v>0</v>
      </c>
      <c r="E105" s="23">
        <v>0</v>
      </c>
    </row>
    <row r="106" spans="2:5" ht="15.75">
      <c r="B106" s="4" t="s">
        <v>96</v>
      </c>
      <c r="C106" s="19">
        <f t="shared" si="1"/>
        <v>0</v>
      </c>
      <c r="D106" s="23">
        <v>0</v>
      </c>
      <c r="E106" s="23">
        <v>0</v>
      </c>
    </row>
    <row r="107" spans="2:5" ht="15.75">
      <c r="B107" s="4" t="s">
        <v>97</v>
      </c>
      <c r="C107" s="19">
        <f t="shared" si="1"/>
        <v>0</v>
      </c>
      <c r="D107" s="23">
        <v>0</v>
      </c>
      <c r="E107" s="23">
        <v>0</v>
      </c>
    </row>
    <row r="108" spans="2:5" ht="15.75">
      <c r="B108" s="4" t="s">
        <v>98</v>
      </c>
      <c r="C108" s="19">
        <f t="shared" si="1"/>
        <v>0</v>
      </c>
      <c r="D108" s="23">
        <v>0</v>
      </c>
      <c r="E108" s="23">
        <v>0</v>
      </c>
    </row>
    <row r="109" spans="2:5" ht="15.75">
      <c r="B109" s="4" t="s">
        <v>99</v>
      </c>
      <c r="C109" s="19">
        <f t="shared" si="1"/>
        <v>0</v>
      </c>
      <c r="D109" s="23">
        <v>0</v>
      </c>
      <c r="E109" s="23">
        <v>0</v>
      </c>
    </row>
    <row r="110" spans="2:5" ht="15.75">
      <c r="B110" s="4" t="s">
        <v>100</v>
      </c>
      <c r="C110" s="19">
        <f t="shared" si="1"/>
        <v>0</v>
      </c>
      <c r="D110" s="23">
        <v>0</v>
      </c>
      <c r="E110" s="23">
        <v>0</v>
      </c>
    </row>
    <row r="111" spans="2:5" ht="15.75">
      <c r="B111" s="4" t="s">
        <v>101</v>
      </c>
      <c r="C111" s="19">
        <f t="shared" si="1"/>
        <v>0</v>
      </c>
      <c r="D111" s="23">
        <v>0</v>
      </c>
      <c r="E111" s="23">
        <v>0</v>
      </c>
    </row>
    <row r="112" spans="2:5" ht="15.75">
      <c r="B112" s="4" t="s">
        <v>102</v>
      </c>
      <c r="C112" s="19">
        <f t="shared" si="1"/>
        <v>0</v>
      </c>
      <c r="D112" s="23">
        <v>0</v>
      </c>
      <c r="E112" s="23">
        <v>0</v>
      </c>
    </row>
    <row r="113" spans="2:5" ht="15.75">
      <c r="B113" s="4" t="s">
        <v>103</v>
      </c>
      <c r="C113" s="19">
        <f t="shared" si="1"/>
        <v>0</v>
      </c>
      <c r="D113" s="23">
        <v>0</v>
      </c>
      <c r="E113" s="23">
        <v>0</v>
      </c>
    </row>
    <row r="114" spans="2:5" ht="15.75">
      <c r="B114" s="7" t="s">
        <v>104</v>
      </c>
      <c r="C114" s="19">
        <f t="shared" si="1"/>
        <v>0</v>
      </c>
      <c r="D114" s="22">
        <f>D102+D107+D108+D109+D110+D111+D112+D113</f>
        <v>0</v>
      </c>
      <c r="E114" s="22">
        <f>E102+E107+E108+E109+E110+E111+E112+E113</f>
        <v>0</v>
      </c>
    </row>
    <row r="115" spans="2:5" ht="15.75">
      <c r="B115" s="4" t="s">
        <v>105</v>
      </c>
      <c r="C115" s="19">
        <f t="shared" si="1"/>
        <v>0</v>
      </c>
      <c r="D115" s="23">
        <v>0</v>
      </c>
      <c r="E115" s="23">
        <v>0</v>
      </c>
    </row>
    <row r="116" spans="2:5" ht="15.75">
      <c r="B116" s="4" t="s">
        <v>106</v>
      </c>
      <c r="C116" s="19">
        <f t="shared" si="1"/>
        <v>0</v>
      </c>
      <c r="D116" s="23">
        <v>0</v>
      </c>
      <c r="E116" s="23">
        <v>0</v>
      </c>
    </row>
    <row r="117" spans="2:5" ht="15.75">
      <c r="B117" s="4" t="s">
        <v>107</v>
      </c>
      <c r="C117" s="19">
        <f t="shared" si="1"/>
        <v>0</v>
      </c>
      <c r="D117" s="23">
        <v>0</v>
      </c>
      <c r="E117" s="23">
        <v>0</v>
      </c>
    </row>
    <row r="118" spans="2:5" ht="15.75">
      <c r="B118" s="4" t="s">
        <v>108</v>
      </c>
      <c r="C118" s="19">
        <f t="shared" si="1"/>
        <v>0</v>
      </c>
      <c r="D118" s="23">
        <v>0</v>
      </c>
      <c r="E118" s="23">
        <v>0</v>
      </c>
    </row>
    <row r="119" spans="2:5" ht="15.75">
      <c r="B119" s="7" t="s">
        <v>109</v>
      </c>
      <c r="C119" s="19">
        <f t="shared" si="1"/>
        <v>0</v>
      </c>
      <c r="D119" s="22">
        <f>D115+D116+D117+D118</f>
        <v>0</v>
      </c>
      <c r="E119" s="22">
        <f>E115+E116+E117+E118</f>
        <v>0</v>
      </c>
    </row>
    <row r="120" spans="2:5" ht="15.75">
      <c r="B120" s="7" t="s">
        <v>110</v>
      </c>
      <c r="C120" s="19">
        <f t="shared" si="1"/>
        <v>0</v>
      </c>
      <c r="D120" s="22">
        <v>0</v>
      </c>
      <c r="E120" s="22">
        <v>0</v>
      </c>
    </row>
    <row r="121" spans="2:5" ht="15.75">
      <c r="B121" s="10" t="s">
        <v>111</v>
      </c>
      <c r="C121" s="19">
        <f t="shared" si="1"/>
        <v>0</v>
      </c>
      <c r="D121" s="22">
        <f>D114+D119+D120</f>
        <v>0</v>
      </c>
      <c r="E121" s="22">
        <f>E114+E119+E120</f>
        <v>0</v>
      </c>
    </row>
    <row r="122" spans="2:5" ht="20.25">
      <c r="B122" s="12" t="s">
        <v>112</v>
      </c>
      <c r="C122" s="19">
        <f t="shared" si="1"/>
        <v>81599975</v>
      </c>
      <c r="D122" s="26">
        <f>D98+D121</f>
        <v>81599975</v>
      </c>
      <c r="E122" s="26">
        <f>E98+E121</f>
        <v>0</v>
      </c>
    </row>
    <row r="123" spans="2:5" ht="15.75">
      <c r="B123" s="4" t="s">
        <v>113</v>
      </c>
      <c r="C123" s="19">
        <f t="shared" si="1"/>
        <v>0</v>
      </c>
      <c r="D123" s="23">
        <v>0</v>
      </c>
      <c r="E123" s="23">
        <v>0</v>
      </c>
    </row>
    <row r="124" spans="2:5" ht="15.75">
      <c r="B124" s="4" t="s">
        <v>114</v>
      </c>
      <c r="C124" s="19">
        <f t="shared" si="1"/>
        <v>0</v>
      </c>
      <c r="D124" s="23">
        <v>0</v>
      </c>
      <c r="E124" s="23">
        <v>0</v>
      </c>
    </row>
    <row r="125" spans="2:5" ht="15.75">
      <c r="B125" s="4" t="s">
        <v>115</v>
      </c>
      <c r="C125" s="19">
        <f t="shared" si="1"/>
        <v>0</v>
      </c>
      <c r="D125" s="23">
        <v>0</v>
      </c>
      <c r="E125" s="23">
        <v>0</v>
      </c>
    </row>
    <row r="126" spans="2:5" ht="15.75">
      <c r="B126" s="4" t="s">
        <v>116</v>
      </c>
      <c r="C126" s="19">
        <f t="shared" si="1"/>
        <v>0</v>
      </c>
      <c r="D126" s="23">
        <v>0</v>
      </c>
      <c r="E126" s="23">
        <v>0</v>
      </c>
    </row>
    <row r="127" spans="2:5" ht="15.75">
      <c r="B127" s="4" t="s">
        <v>117</v>
      </c>
      <c r="C127" s="19">
        <f t="shared" si="1"/>
        <v>0</v>
      </c>
      <c r="D127" s="23">
        <v>0</v>
      </c>
      <c r="E127" s="23">
        <v>0</v>
      </c>
    </row>
    <row r="128" spans="2:5" ht="15.75">
      <c r="B128" s="4" t="s">
        <v>118</v>
      </c>
      <c r="C128" s="19">
        <f t="shared" si="1"/>
        <v>0</v>
      </c>
      <c r="D128" s="23">
        <v>0</v>
      </c>
      <c r="E128" s="23">
        <v>0</v>
      </c>
    </row>
    <row r="129" spans="2:5" ht="15.75">
      <c r="B129" s="4" t="s">
        <v>119</v>
      </c>
      <c r="C129" s="19">
        <f t="shared" si="1"/>
        <v>0</v>
      </c>
      <c r="D129" s="23">
        <v>0</v>
      </c>
      <c r="E129" s="23">
        <v>0</v>
      </c>
    </row>
    <row r="130" spans="2:5" ht="15.75">
      <c r="B130" s="4" t="s">
        <v>120</v>
      </c>
      <c r="C130" s="19">
        <f t="shared" si="1"/>
        <v>0</v>
      </c>
      <c r="D130" s="23">
        <f>'[1]2 melléklet'!F13</f>
        <v>0</v>
      </c>
      <c r="E130" s="23">
        <v>0</v>
      </c>
    </row>
    <row r="131" spans="2:5" ht="15.75">
      <c r="B131" s="4" t="s">
        <v>121</v>
      </c>
      <c r="C131" s="19">
        <f t="shared" si="1"/>
        <v>0</v>
      </c>
      <c r="D131" s="23">
        <f>'[1]2 melléklet'!F14</f>
        <v>0</v>
      </c>
      <c r="E131" s="23">
        <v>0</v>
      </c>
    </row>
    <row r="132" spans="2:5" ht="15.75">
      <c r="B132" s="4" t="s">
        <v>122</v>
      </c>
      <c r="C132" s="19">
        <f t="shared" si="1"/>
        <v>0</v>
      </c>
      <c r="D132" s="23">
        <f>'[1]2 melléklet'!F15</f>
        <v>0</v>
      </c>
      <c r="E132" s="23">
        <v>0</v>
      </c>
    </row>
    <row r="133" spans="2:5" ht="15.75">
      <c r="B133" s="4" t="s">
        <v>123</v>
      </c>
      <c r="C133" s="19">
        <f t="shared" si="1"/>
        <v>0</v>
      </c>
      <c r="D133" s="23">
        <f>'[1]2 melléklet'!F16</f>
        <v>0</v>
      </c>
      <c r="E133" s="23">
        <v>0</v>
      </c>
    </row>
    <row r="134" spans="2:5" ht="15.75">
      <c r="B134" s="4" t="s">
        <v>124</v>
      </c>
      <c r="C134" s="19">
        <f t="shared" ref="C134:C198" si="2">SUM(D134:E134)</f>
        <v>0</v>
      </c>
      <c r="D134" s="23">
        <v>0</v>
      </c>
      <c r="E134" s="23">
        <v>0</v>
      </c>
    </row>
    <row r="135" spans="2:5" ht="15.75">
      <c r="B135" s="13" t="s">
        <v>125</v>
      </c>
      <c r="C135" s="19">
        <f t="shared" si="2"/>
        <v>0</v>
      </c>
      <c r="D135" s="22">
        <f>D129+D130+D131+D132+D133+D134</f>
        <v>0</v>
      </c>
      <c r="E135" s="22">
        <f>E129+E130+E131+E132+E133+E134</f>
        <v>0</v>
      </c>
    </row>
    <row r="136" spans="2:5" ht="15.75">
      <c r="B136" s="4" t="s">
        <v>126</v>
      </c>
      <c r="C136" s="19">
        <f t="shared" si="2"/>
        <v>0</v>
      </c>
      <c r="D136" s="23">
        <f>'[1]2 melléklet'!F25</f>
        <v>0</v>
      </c>
      <c r="E136" s="23">
        <v>0</v>
      </c>
    </row>
    <row r="137" spans="2:5" ht="15.75">
      <c r="B137" s="4" t="s">
        <v>127</v>
      </c>
      <c r="C137" s="19">
        <f t="shared" si="2"/>
        <v>0</v>
      </c>
      <c r="D137" s="23">
        <f>'[1]2 melléklet'!F26</f>
        <v>0</v>
      </c>
      <c r="E137" s="23">
        <v>0</v>
      </c>
    </row>
    <row r="138" spans="2:5" ht="15.75">
      <c r="B138" s="4" t="s">
        <v>128</v>
      </c>
      <c r="C138" s="19">
        <f t="shared" si="2"/>
        <v>0</v>
      </c>
      <c r="D138" s="23">
        <f>'[1]2 melléklet'!F27</f>
        <v>0</v>
      </c>
      <c r="E138" s="23">
        <v>0</v>
      </c>
    </row>
    <row r="139" spans="2:5" ht="15.75">
      <c r="B139" s="4" t="s">
        <v>129</v>
      </c>
      <c r="C139" s="19">
        <f t="shared" si="2"/>
        <v>0</v>
      </c>
      <c r="D139" s="23">
        <f>'[1]2 melléklet'!F28</f>
        <v>0</v>
      </c>
      <c r="E139" s="23">
        <v>0</v>
      </c>
    </row>
    <row r="140" spans="2:5" ht="15.75">
      <c r="B140" s="4" t="s">
        <v>130</v>
      </c>
      <c r="C140" s="19">
        <f t="shared" si="2"/>
        <v>0</v>
      </c>
      <c r="D140" s="23">
        <f>'[1]2 melléklet'!F29</f>
        <v>0</v>
      </c>
      <c r="E140" s="23">
        <v>0</v>
      </c>
    </row>
    <row r="141" spans="2:5" ht="15.75">
      <c r="B141" s="4" t="s">
        <v>131</v>
      </c>
      <c r="C141" s="19">
        <f t="shared" si="2"/>
        <v>0</v>
      </c>
      <c r="D141" s="23">
        <v>0</v>
      </c>
      <c r="E141" s="23">
        <v>0</v>
      </c>
    </row>
    <row r="142" spans="2:5" ht="15.75">
      <c r="B142" s="4" t="s">
        <v>132</v>
      </c>
      <c r="C142" s="19">
        <f t="shared" si="2"/>
        <v>0</v>
      </c>
      <c r="D142" s="23">
        <v>0</v>
      </c>
      <c r="E142" s="23">
        <v>0</v>
      </c>
    </row>
    <row r="143" spans="2:5" ht="15.75">
      <c r="B143" s="4" t="s">
        <v>133</v>
      </c>
      <c r="C143" s="19">
        <f t="shared" si="2"/>
        <v>0</v>
      </c>
      <c r="D143" s="23">
        <f>'[1]2 melléklet'!F32</f>
        <v>0</v>
      </c>
      <c r="E143" s="23">
        <v>0</v>
      </c>
    </row>
    <row r="144" spans="2:5" ht="15.75">
      <c r="B144" s="4" t="s">
        <v>134</v>
      </c>
      <c r="C144" s="19">
        <f t="shared" si="2"/>
        <v>0</v>
      </c>
      <c r="D144" s="23">
        <f>'[1]2 melléklet'!F33</f>
        <v>0</v>
      </c>
      <c r="E144" s="23">
        <v>0</v>
      </c>
    </row>
    <row r="145" spans="2:5" ht="15.75">
      <c r="B145" s="4" t="s">
        <v>135</v>
      </c>
      <c r="C145" s="19">
        <f t="shared" si="2"/>
        <v>0</v>
      </c>
      <c r="D145" s="23">
        <v>0</v>
      </c>
      <c r="E145" s="23">
        <v>0</v>
      </c>
    </row>
    <row r="146" spans="2:5" ht="15.75">
      <c r="B146" s="4" t="s">
        <v>136</v>
      </c>
      <c r="C146" s="19">
        <f t="shared" si="2"/>
        <v>0</v>
      </c>
      <c r="D146" s="23">
        <v>0</v>
      </c>
      <c r="E146" s="23">
        <v>0</v>
      </c>
    </row>
    <row r="147" spans="2:5" ht="15.75">
      <c r="B147" s="4" t="s">
        <v>137</v>
      </c>
      <c r="C147" s="19">
        <f t="shared" si="2"/>
        <v>0</v>
      </c>
      <c r="D147" s="23">
        <v>0</v>
      </c>
      <c r="E147" s="23">
        <v>0</v>
      </c>
    </row>
    <row r="148" spans="2:5" ht="15.75">
      <c r="B148" s="4" t="s">
        <v>138</v>
      </c>
      <c r="C148" s="19">
        <f t="shared" si="2"/>
        <v>0</v>
      </c>
      <c r="D148" s="23">
        <v>0</v>
      </c>
      <c r="E148" s="23">
        <v>0</v>
      </c>
    </row>
    <row r="149" spans="2:5" ht="15.75">
      <c r="B149" s="13" t="s">
        <v>139</v>
      </c>
      <c r="C149" s="19">
        <f t="shared" si="2"/>
        <v>0</v>
      </c>
      <c r="D149" s="22">
        <f>D138+D139+D140+D141+D147+D148</f>
        <v>0</v>
      </c>
      <c r="E149" s="22">
        <f>E138+E139+E140+E141+E147+E148</f>
        <v>0</v>
      </c>
    </row>
    <row r="150" spans="2:5" ht="15.75">
      <c r="B150" s="4" t="s">
        <v>140</v>
      </c>
      <c r="C150" s="19">
        <f t="shared" si="2"/>
        <v>0</v>
      </c>
      <c r="D150" s="23">
        <f>'[1]2 melléklet'!F39</f>
        <v>0</v>
      </c>
      <c r="E150" s="23">
        <v>0</v>
      </c>
    </row>
    <row r="151" spans="2:5" ht="15.75">
      <c r="B151" s="4" t="s">
        <v>141</v>
      </c>
      <c r="C151" s="19">
        <f t="shared" si="2"/>
        <v>0</v>
      </c>
      <c r="D151" s="23">
        <v>0</v>
      </c>
      <c r="E151" s="23">
        <v>0</v>
      </c>
    </row>
    <row r="152" spans="2:5" ht="15.75">
      <c r="B152" s="4" t="s">
        <v>142</v>
      </c>
      <c r="C152" s="19">
        <f t="shared" si="2"/>
        <v>0</v>
      </c>
      <c r="D152" s="23">
        <f>'[1]2 melléklet'!F41</f>
        <v>0</v>
      </c>
      <c r="E152" s="23">
        <v>0</v>
      </c>
    </row>
    <row r="153" spans="2:5" ht="15.75">
      <c r="B153" s="4" t="s">
        <v>143</v>
      </c>
      <c r="C153" s="19">
        <f t="shared" si="2"/>
        <v>0</v>
      </c>
      <c r="D153" s="23">
        <f>'[1]2 melléklet'!F42</f>
        <v>0</v>
      </c>
      <c r="E153" s="23">
        <v>0</v>
      </c>
    </row>
    <row r="154" spans="2:5" ht="15.75">
      <c r="B154" s="4" t="s">
        <v>144</v>
      </c>
      <c r="C154" s="19">
        <f t="shared" si="2"/>
        <v>0</v>
      </c>
      <c r="D154" s="23">
        <f>'[1]2 melléklet'!F43</f>
        <v>0</v>
      </c>
      <c r="E154" s="23">
        <v>0</v>
      </c>
    </row>
    <row r="155" spans="2:5" ht="15.75">
      <c r="B155" s="4" t="s">
        <v>145</v>
      </c>
      <c r="C155" s="19">
        <f t="shared" si="2"/>
        <v>0</v>
      </c>
      <c r="D155" s="23">
        <f>'[1]2 melléklet'!F44</f>
        <v>0</v>
      </c>
      <c r="E155" s="23">
        <v>0</v>
      </c>
    </row>
    <row r="156" spans="2:5" ht="15.75">
      <c r="B156" s="4" t="s">
        <v>146</v>
      </c>
      <c r="C156" s="19">
        <f t="shared" si="2"/>
        <v>0</v>
      </c>
      <c r="D156" s="23">
        <f>'[1]2 melléklet'!F45</f>
        <v>0</v>
      </c>
      <c r="E156" s="23">
        <v>0</v>
      </c>
    </row>
    <row r="157" spans="2:5" ht="15.75">
      <c r="B157" s="4" t="s">
        <v>311</v>
      </c>
      <c r="C157" s="19">
        <f t="shared" si="2"/>
        <v>0</v>
      </c>
      <c r="D157" s="23">
        <f>'[1]2 melléklet'!F46</f>
        <v>0</v>
      </c>
      <c r="E157" s="23">
        <v>0</v>
      </c>
    </row>
    <row r="158" spans="2:5" ht="15.75">
      <c r="B158" s="4" t="s">
        <v>148</v>
      </c>
      <c r="C158" s="19">
        <f t="shared" si="2"/>
        <v>0</v>
      </c>
      <c r="D158" s="23">
        <f>'[1]2 melléklet'!F47</f>
        <v>0</v>
      </c>
      <c r="E158" s="23">
        <v>0</v>
      </c>
    </row>
    <row r="159" spans="2:5" ht="15.75">
      <c r="B159" s="4" t="s">
        <v>312</v>
      </c>
      <c r="C159" s="19">
        <f t="shared" si="2"/>
        <v>0</v>
      </c>
      <c r="D159" s="23">
        <f>'[1]2 melléklet'!F48</f>
        <v>0</v>
      </c>
      <c r="E159" s="23">
        <v>0</v>
      </c>
    </row>
    <row r="160" spans="2:5" ht="15.75">
      <c r="B160" s="4" t="s">
        <v>313</v>
      </c>
      <c r="C160" s="19">
        <f t="shared" si="2"/>
        <v>800000</v>
      </c>
      <c r="D160" s="23">
        <v>800000</v>
      </c>
      <c r="E160" s="23">
        <v>0</v>
      </c>
    </row>
    <row r="161" spans="2:5" ht="15.75">
      <c r="B161" s="13" t="s">
        <v>149</v>
      </c>
      <c r="C161" s="19">
        <f>SUM(C150:C160)</f>
        <v>800000</v>
      </c>
      <c r="D161" s="19">
        <f t="shared" ref="D161:E161" si="3">SUM(D150:D160)</f>
        <v>800000</v>
      </c>
      <c r="E161" s="19">
        <f t="shared" si="3"/>
        <v>0</v>
      </c>
    </row>
    <row r="162" spans="2:5" ht="15.75">
      <c r="B162" s="4" t="s">
        <v>150</v>
      </c>
      <c r="C162" s="19">
        <f t="shared" si="2"/>
        <v>0</v>
      </c>
      <c r="D162" s="23">
        <f>'[1]2 melléklet'!F56</f>
        <v>0</v>
      </c>
      <c r="E162" s="23">
        <v>0</v>
      </c>
    </row>
    <row r="163" spans="2:5" ht="15.75">
      <c r="B163" s="4" t="s">
        <v>151</v>
      </c>
      <c r="C163" s="19">
        <f t="shared" si="2"/>
        <v>0</v>
      </c>
      <c r="D163" s="23">
        <f>'[1]2 melléklet'!F57</f>
        <v>0</v>
      </c>
      <c r="E163" s="23">
        <v>0</v>
      </c>
    </row>
    <row r="164" spans="2:5" ht="15.75">
      <c r="B164" s="4" t="s">
        <v>152</v>
      </c>
      <c r="C164" s="19">
        <f t="shared" si="2"/>
        <v>0</v>
      </c>
      <c r="D164" s="23">
        <f>'[1]2 melléklet'!F58</f>
        <v>0</v>
      </c>
      <c r="E164" s="23">
        <v>0</v>
      </c>
    </row>
    <row r="165" spans="2:5" ht="15.75">
      <c r="B165" s="13" t="s">
        <v>153</v>
      </c>
      <c r="C165" s="19">
        <f t="shared" si="2"/>
        <v>0</v>
      </c>
      <c r="D165" s="22">
        <f>SUM(D162:D164)</f>
        <v>0</v>
      </c>
      <c r="E165" s="22">
        <f>SUM(E162:E164)</f>
        <v>0</v>
      </c>
    </row>
    <row r="166" spans="2:5" ht="15.75">
      <c r="B166" s="14" t="s">
        <v>154</v>
      </c>
      <c r="C166" s="19">
        <f t="shared" si="2"/>
        <v>800000</v>
      </c>
      <c r="D166" s="22">
        <f>D135+D149+D161+D165</f>
        <v>800000</v>
      </c>
      <c r="E166" s="22">
        <f>E135+E149+E161+E165</f>
        <v>0</v>
      </c>
    </row>
    <row r="167" spans="2:5" ht="15.75">
      <c r="B167" s="4" t="s">
        <v>155</v>
      </c>
      <c r="C167" s="19">
        <f t="shared" si="2"/>
        <v>0</v>
      </c>
      <c r="D167" s="23">
        <f>'[1]2 melléklet'!F19</f>
        <v>0</v>
      </c>
      <c r="E167" s="23">
        <v>0</v>
      </c>
    </row>
    <row r="168" spans="2:5" ht="15.75">
      <c r="B168" s="4" t="s">
        <v>156</v>
      </c>
      <c r="C168" s="19">
        <f t="shared" si="2"/>
        <v>0</v>
      </c>
      <c r="D168" s="23">
        <f>'[1]2 melléklet'!F20</f>
        <v>0</v>
      </c>
      <c r="E168" s="23">
        <v>0</v>
      </c>
    </row>
    <row r="169" spans="2:5" ht="15.75">
      <c r="B169" s="4" t="s">
        <v>157</v>
      </c>
      <c r="C169" s="19">
        <f t="shared" si="2"/>
        <v>0</v>
      </c>
      <c r="D169" s="23">
        <f>'[1]2 melléklet'!F21</f>
        <v>0</v>
      </c>
      <c r="E169" s="23">
        <v>0</v>
      </c>
    </row>
    <row r="170" spans="2:5" ht="15.75">
      <c r="B170" s="4" t="s">
        <v>158</v>
      </c>
      <c r="C170" s="19">
        <f t="shared" si="2"/>
        <v>0</v>
      </c>
      <c r="D170" s="23">
        <f>'[1]2 melléklet'!F22</f>
        <v>0</v>
      </c>
      <c r="E170" s="23">
        <v>0</v>
      </c>
    </row>
    <row r="171" spans="2:5" ht="15.75">
      <c r="B171" s="4" t="s">
        <v>159</v>
      </c>
      <c r="C171" s="19">
        <f t="shared" si="2"/>
        <v>0</v>
      </c>
      <c r="D171" s="23">
        <f>'[1]2 melléklet'!F23</f>
        <v>0</v>
      </c>
      <c r="E171" s="23">
        <v>0</v>
      </c>
    </row>
    <row r="172" spans="2:5" ht="15.75">
      <c r="B172" s="13" t="s">
        <v>160</v>
      </c>
      <c r="C172" s="19">
        <f t="shared" si="2"/>
        <v>0</v>
      </c>
      <c r="D172" s="22">
        <f>SUM(D167:D171)</f>
        <v>0</v>
      </c>
      <c r="E172" s="22">
        <f>SUM(E167:E171)</f>
        <v>0</v>
      </c>
    </row>
    <row r="173" spans="2:5" ht="15.75">
      <c r="B173" s="4" t="s">
        <v>161</v>
      </c>
      <c r="C173" s="19">
        <f t="shared" si="2"/>
        <v>0</v>
      </c>
      <c r="D173" s="23">
        <f>'[1]2 melléklet'!F50</f>
        <v>0</v>
      </c>
      <c r="E173" s="23">
        <v>0</v>
      </c>
    </row>
    <row r="174" spans="2:5" ht="15.75">
      <c r="B174" s="4" t="s">
        <v>162</v>
      </c>
      <c r="C174" s="19">
        <f t="shared" si="2"/>
        <v>0</v>
      </c>
      <c r="D174" s="23">
        <f>'[1]2 melléklet'!F51</f>
        <v>0</v>
      </c>
      <c r="E174" s="23">
        <v>0</v>
      </c>
    </row>
    <row r="175" spans="2:5" ht="15.75">
      <c r="B175" s="4" t="s">
        <v>163</v>
      </c>
      <c r="C175" s="19">
        <f t="shared" si="2"/>
        <v>0</v>
      </c>
      <c r="D175" s="23">
        <f>'[1]2 melléklet'!F52</f>
        <v>0</v>
      </c>
      <c r="E175" s="23">
        <v>0</v>
      </c>
    </row>
    <row r="176" spans="2:5" ht="15.75">
      <c r="B176" s="4" t="s">
        <v>164</v>
      </c>
      <c r="C176" s="19">
        <f t="shared" si="2"/>
        <v>0</v>
      </c>
      <c r="D176" s="23">
        <f>'[1]2 melléklet'!F53</f>
        <v>0</v>
      </c>
      <c r="E176" s="23">
        <v>0</v>
      </c>
    </row>
    <row r="177" spans="2:5" ht="15.75">
      <c r="B177" s="4" t="s">
        <v>165</v>
      </c>
      <c r="C177" s="19">
        <f t="shared" si="2"/>
        <v>0</v>
      </c>
      <c r="D177" s="23">
        <f>'[1]2 melléklet'!F54</f>
        <v>0</v>
      </c>
      <c r="E177" s="23">
        <v>0</v>
      </c>
    </row>
    <row r="178" spans="2:5" ht="15.75">
      <c r="B178" s="13" t="s">
        <v>166</v>
      </c>
      <c r="C178" s="19">
        <f t="shared" si="2"/>
        <v>0</v>
      </c>
      <c r="D178" s="22">
        <f>SUM(D173:D177)</f>
        <v>0</v>
      </c>
      <c r="E178" s="22">
        <f>SUM(E173:E177)</f>
        <v>0</v>
      </c>
    </row>
    <row r="179" spans="2:5" ht="15.75">
      <c r="B179" s="4" t="s">
        <v>167</v>
      </c>
      <c r="C179" s="19">
        <f t="shared" si="2"/>
        <v>0</v>
      </c>
      <c r="D179" s="23">
        <f>'[1]2 melléklet'!F61</f>
        <v>0</v>
      </c>
      <c r="E179" s="23">
        <v>0</v>
      </c>
    </row>
    <row r="180" spans="2:5" ht="15.75">
      <c r="B180" s="4" t="s">
        <v>168</v>
      </c>
      <c r="C180" s="19">
        <f t="shared" si="2"/>
        <v>0</v>
      </c>
      <c r="D180" s="23">
        <f>'[1]2 melléklet'!F62</f>
        <v>0</v>
      </c>
      <c r="E180" s="23">
        <v>0</v>
      </c>
    </row>
    <row r="181" spans="2:5" ht="15.75">
      <c r="B181" s="4" t="s">
        <v>169</v>
      </c>
      <c r="C181" s="19">
        <f t="shared" si="2"/>
        <v>0</v>
      </c>
      <c r="D181" s="23">
        <f>'[1]2 melléklet'!F63</f>
        <v>0</v>
      </c>
      <c r="E181" s="23">
        <v>0</v>
      </c>
    </row>
    <row r="182" spans="2:5" ht="15.75">
      <c r="B182" s="13" t="s">
        <v>170</v>
      </c>
      <c r="C182" s="19">
        <f t="shared" si="2"/>
        <v>0</v>
      </c>
      <c r="D182" s="22">
        <f>SUM(D179:D181)</f>
        <v>0</v>
      </c>
      <c r="E182" s="22">
        <f>SUM(E179:E181)</f>
        <v>0</v>
      </c>
    </row>
    <row r="183" spans="2:5" ht="15.75">
      <c r="B183" s="14" t="s">
        <v>171</v>
      </c>
      <c r="C183" s="19">
        <f t="shared" si="2"/>
        <v>0</v>
      </c>
      <c r="D183" s="27">
        <f>D172+D178+D182</f>
        <v>0</v>
      </c>
      <c r="E183" s="27">
        <f>E172+E178+E182</f>
        <v>0</v>
      </c>
    </row>
    <row r="184" spans="2:5" ht="18.75">
      <c r="B184" s="15" t="s">
        <v>172</v>
      </c>
      <c r="C184" s="19">
        <f t="shared" si="2"/>
        <v>800000</v>
      </c>
      <c r="D184" s="25">
        <f>D166+D183</f>
        <v>800000</v>
      </c>
      <c r="E184" s="25">
        <f>E166+E183</f>
        <v>0</v>
      </c>
    </row>
    <row r="185" spans="2:5" ht="18.75">
      <c r="B185" s="30" t="s">
        <v>173</v>
      </c>
      <c r="C185" s="19">
        <f t="shared" si="2"/>
        <v>-80799975</v>
      </c>
      <c r="D185" s="31">
        <f>D166-D74</f>
        <v>-80799975</v>
      </c>
      <c r="E185" s="31">
        <f>E166-E74</f>
        <v>0</v>
      </c>
    </row>
    <row r="186" spans="2:5" ht="18.75">
      <c r="B186" s="30" t="s">
        <v>174</v>
      </c>
      <c r="C186" s="19">
        <f t="shared" si="2"/>
        <v>0</v>
      </c>
      <c r="D186" s="31">
        <f>D183-D97</f>
        <v>0</v>
      </c>
      <c r="E186" s="31">
        <f>E183-E97</f>
        <v>0</v>
      </c>
    </row>
    <row r="187" spans="2:5" ht="15.75">
      <c r="B187" s="4" t="s">
        <v>175</v>
      </c>
      <c r="C187" s="19">
        <f t="shared" si="2"/>
        <v>0</v>
      </c>
      <c r="D187" s="23">
        <f>'[1]2 melléklet'!F66</f>
        <v>0</v>
      </c>
      <c r="E187" s="23">
        <v>0</v>
      </c>
    </row>
    <row r="188" spans="2:5" ht="15.75">
      <c r="B188" s="4" t="s">
        <v>176</v>
      </c>
      <c r="C188" s="19">
        <f t="shared" si="2"/>
        <v>0</v>
      </c>
      <c r="D188" s="23">
        <f>'[1]2 melléklet'!F67</f>
        <v>0</v>
      </c>
      <c r="E188" s="23">
        <v>0</v>
      </c>
    </row>
    <row r="189" spans="2:5" ht="15.75">
      <c r="B189" s="4" t="s">
        <v>177</v>
      </c>
      <c r="C189" s="19">
        <f t="shared" si="2"/>
        <v>0</v>
      </c>
      <c r="D189" s="23">
        <f>'[1]2 melléklet'!F68</f>
        <v>0</v>
      </c>
      <c r="E189" s="23">
        <v>0</v>
      </c>
    </row>
    <row r="190" spans="2:5" ht="15.75">
      <c r="B190" s="4" t="s">
        <v>178</v>
      </c>
      <c r="C190" s="19">
        <f t="shared" si="2"/>
        <v>0</v>
      </c>
      <c r="D190" s="23">
        <f>'[1]2 melléklet'!F69</f>
        <v>0</v>
      </c>
      <c r="E190" s="23">
        <v>0</v>
      </c>
    </row>
    <row r="191" spans="2:5" ht="15.75">
      <c r="B191" s="4" t="s">
        <v>179</v>
      </c>
      <c r="C191" s="19">
        <f t="shared" si="2"/>
        <v>0</v>
      </c>
      <c r="D191" s="23">
        <f>'[1]2 melléklet'!F70</f>
        <v>0</v>
      </c>
      <c r="E191" s="23">
        <v>0</v>
      </c>
    </row>
    <row r="192" spans="2:5" ht="15.75">
      <c r="B192" s="4" t="s">
        <v>180</v>
      </c>
      <c r="C192" s="19">
        <f t="shared" si="2"/>
        <v>0</v>
      </c>
      <c r="D192" s="23">
        <f>'[1]2 melléklet'!F71</f>
        <v>0</v>
      </c>
      <c r="E192" s="23">
        <v>0</v>
      </c>
    </row>
    <row r="193" spans="2:5" ht="15.75">
      <c r="B193" s="4" t="s">
        <v>181</v>
      </c>
      <c r="C193" s="19">
        <f t="shared" si="2"/>
        <v>0</v>
      </c>
      <c r="D193" s="23">
        <f>'[1]2 melléklet'!F72</f>
        <v>0</v>
      </c>
      <c r="E193" s="23">
        <v>0</v>
      </c>
    </row>
    <row r="194" spans="2:5" ht="15.75">
      <c r="B194" s="4" t="s">
        <v>182</v>
      </c>
      <c r="C194" s="19">
        <f t="shared" si="2"/>
        <v>0</v>
      </c>
      <c r="D194" s="23">
        <f>'[1]2 melléklet'!F73</f>
        <v>0</v>
      </c>
      <c r="E194" s="23">
        <v>0</v>
      </c>
    </row>
    <row r="195" spans="2:5" ht="15.75">
      <c r="B195" s="4" t="s">
        <v>183</v>
      </c>
      <c r="C195" s="19">
        <f t="shared" si="2"/>
        <v>0</v>
      </c>
      <c r="D195" s="23">
        <f>'[1]2 melléklet'!F74</f>
        <v>0</v>
      </c>
      <c r="E195" s="23">
        <v>0</v>
      </c>
    </row>
    <row r="196" spans="2:5" ht="15.75">
      <c r="B196" s="4" t="s">
        <v>184</v>
      </c>
      <c r="C196" s="19">
        <f t="shared" si="2"/>
        <v>601224</v>
      </c>
      <c r="D196" s="23">
        <f>'[1]2 melléklet'!F75</f>
        <v>0</v>
      </c>
      <c r="E196" s="67">
        <f>429210+172014</f>
        <v>601224</v>
      </c>
    </row>
    <row r="197" spans="2:5" ht="15.75">
      <c r="B197" s="4" t="s">
        <v>185</v>
      </c>
      <c r="C197" s="19">
        <f t="shared" si="2"/>
        <v>0</v>
      </c>
      <c r="D197" s="23"/>
      <c r="E197" s="23">
        <v>0</v>
      </c>
    </row>
    <row r="198" spans="2:5" ht="15.75">
      <c r="B198" s="4" t="s">
        <v>186</v>
      </c>
      <c r="C198" s="19">
        <f t="shared" si="2"/>
        <v>0</v>
      </c>
      <c r="D198" s="23">
        <f>'[1]2 melléklet'!F77</f>
        <v>0</v>
      </c>
      <c r="E198" s="23">
        <v>0</v>
      </c>
    </row>
    <row r="199" spans="2:5" ht="15.75">
      <c r="B199" s="4" t="s">
        <v>187</v>
      </c>
      <c r="C199" s="19">
        <f t="shared" ref="C199:C214" si="4">SUM(D199:E199)</f>
        <v>0</v>
      </c>
      <c r="D199" s="23">
        <f>'[1]2 melléklet'!F78</f>
        <v>0</v>
      </c>
      <c r="E199" s="23">
        <v>0</v>
      </c>
    </row>
    <row r="200" spans="2:5" ht="15.75">
      <c r="B200" s="4" t="s">
        <v>188</v>
      </c>
      <c r="C200" s="19">
        <f t="shared" si="4"/>
        <v>0</v>
      </c>
      <c r="D200" s="23"/>
      <c r="E200" s="23">
        <v>0</v>
      </c>
    </row>
    <row r="201" spans="2:5" ht="15.75">
      <c r="B201" s="4" t="s">
        <v>189</v>
      </c>
      <c r="C201" s="19">
        <f t="shared" si="4"/>
        <v>0</v>
      </c>
      <c r="D201" s="23">
        <f>'[1]2 melléklet'!F80</f>
        <v>0</v>
      </c>
      <c r="E201" s="23">
        <v>0</v>
      </c>
    </row>
    <row r="202" spans="2:5" ht="15.75">
      <c r="B202" s="4" t="s">
        <v>190</v>
      </c>
      <c r="C202" s="19">
        <f t="shared" si="4"/>
        <v>0</v>
      </c>
      <c r="D202" s="23">
        <f>'[1]2 melléklet'!F81</f>
        <v>0</v>
      </c>
      <c r="E202" s="23">
        <v>0</v>
      </c>
    </row>
    <row r="203" spans="2:5" ht="15.75">
      <c r="B203" s="4" t="s">
        <v>191</v>
      </c>
      <c r="C203" s="19">
        <f t="shared" si="4"/>
        <v>0</v>
      </c>
      <c r="D203" s="23"/>
      <c r="E203" s="67">
        <v>0</v>
      </c>
    </row>
    <row r="204" spans="2:5" ht="15.75">
      <c r="B204" s="4" t="s">
        <v>192</v>
      </c>
      <c r="C204" s="19">
        <f t="shared" si="4"/>
        <v>0</v>
      </c>
      <c r="D204" s="23">
        <f>'[1]2 melléklet'!F83</f>
        <v>0</v>
      </c>
      <c r="E204" s="23">
        <v>0</v>
      </c>
    </row>
    <row r="205" spans="2:5" ht="15.75">
      <c r="B205" s="4" t="s">
        <v>193</v>
      </c>
      <c r="C205" s="19">
        <f t="shared" si="4"/>
        <v>0</v>
      </c>
      <c r="D205" s="23">
        <f>'[1]2 melléklet'!F84</f>
        <v>0</v>
      </c>
      <c r="E205" s="23">
        <v>0</v>
      </c>
    </row>
    <row r="206" spans="2:5" ht="15.75">
      <c r="B206" s="7" t="s">
        <v>194</v>
      </c>
      <c r="C206" s="19">
        <f t="shared" si="4"/>
        <v>601224</v>
      </c>
      <c r="D206" s="22">
        <f>SUM(D187:D205)</f>
        <v>0</v>
      </c>
      <c r="E206" s="22">
        <f>SUM(E187:E205)</f>
        <v>601224</v>
      </c>
    </row>
    <row r="207" spans="2:5" ht="15.75">
      <c r="B207" s="4" t="s">
        <v>195</v>
      </c>
      <c r="C207" s="19">
        <f t="shared" si="4"/>
        <v>0</v>
      </c>
      <c r="D207" s="23">
        <f>'[1]2 melléklet'!F86</f>
        <v>0</v>
      </c>
      <c r="E207" s="23">
        <v>0</v>
      </c>
    </row>
    <row r="208" spans="2:5" ht="15.75">
      <c r="B208" s="4" t="s">
        <v>196</v>
      </c>
      <c r="C208" s="19">
        <f t="shared" si="4"/>
        <v>0</v>
      </c>
      <c r="D208" s="23">
        <f>'[1]2 melléklet'!F87</f>
        <v>0</v>
      </c>
      <c r="E208" s="23">
        <v>0</v>
      </c>
    </row>
    <row r="209" spans="2:5" ht="15.75">
      <c r="B209" s="4" t="s">
        <v>197</v>
      </c>
      <c r="C209" s="19">
        <f t="shared" si="4"/>
        <v>0</v>
      </c>
      <c r="D209" s="23">
        <f>'[1]2 melléklet'!F88</f>
        <v>0</v>
      </c>
      <c r="E209" s="23">
        <v>0</v>
      </c>
    </row>
    <row r="210" spans="2:5" ht="15.75">
      <c r="B210" s="4" t="s">
        <v>198</v>
      </c>
      <c r="C210" s="19">
        <f t="shared" si="4"/>
        <v>0</v>
      </c>
      <c r="D210" s="23">
        <f>'[1]2 melléklet'!F89</f>
        <v>0</v>
      </c>
      <c r="E210" s="23">
        <v>0</v>
      </c>
    </row>
    <row r="211" spans="2:5" ht="15.75">
      <c r="B211" s="7" t="s">
        <v>199</v>
      </c>
      <c r="C211" s="19">
        <f t="shared" si="4"/>
        <v>0</v>
      </c>
      <c r="D211" s="22">
        <f>'[1]2 melléklet'!F90</f>
        <v>0</v>
      </c>
      <c r="E211" s="22">
        <f>SUM(E207:E210)</f>
        <v>0</v>
      </c>
    </row>
    <row r="212" spans="2:5" ht="15.75">
      <c r="B212" s="7" t="s">
        <v>200</v>
      </c>
      <c r="C212" s="19">
        <f t="shared" si="4"/>
        <v>0</v>
      </c>
      <c r="D212" s="22">
        <f>'[1]2 melléklet'!F91</f>
        <v>0</v>
      </c>
      <c r="E212" s="22">
        <v>0</v>
      </c>
    </row>
    <row r="213" spans="2:5" ht="15.75">
      <c r="B213" s="13" t="s">
        <v>201</v>
      </c>
      <c r="C213" s="19">
        <f t="shared" si="4"/>
        <v>601224</v>
      </c>
      <c r="D213" s="22">
        <f>D206+D211+D212</f>
        <v>0</v>
      </c>
      <c r="E213" s="22">
        <f>E206+E211+E212</f>
        <v>601224</v>
      </c>
    </row>
    <row r="214" spans="2:5" ht="20.25">
      <c r="B214" s="16" t="s">
        <v>202</v>
      </c>
      <c r="C214" s="19">
        <f t="shared" si="4"/>
        <v>1401224</v>
      </c>
      <c r="D214" s="26">
        <f>D184+D213</f>
        <v>800000</v>
      </c>
      <c r="E214" s="26">
        <f>E184+E213</f>
        <v>601224</v>
      </c>
    </row>
    <row r="216" spans="2:5">
      <c r="C216" s="68">
        <f>D216+E216</f>
        <v>-80198751</v>
      </c>
      <c r="D216" s="29">
        <f>D214-D122</f>
        <v>-80799975</v>
      </c>
      <c r="E216" s="29">
        <f>E214-E122</f>
        <v>601224</v>
      </c>
    </row>
    <row r="217" spans="2:5">
      <c r="B217" t="s">
        <v>213</v>
      </c>
    </row>
    <row r="218" spans="2:5">
      <c r="B218" t="s">
        <v>211</v>
      </c>
    </row>
    <row r="219" spans="2:5">
      <c r="B219" t="s">
        <v>212</v>
      </c>
    </row>
    <row r="220" spans="2:5">
      <c r="B220" t="s">
        <v>214</v>
      </c>
    </row>
    <row r="222" spans="2:5">
      <c r="B222" s="107" t="s">
        <v>328</v>
      </c>
      <c r="C222" s="108" t="s">
        <v>329</v>
      </c>
      <c r="D222" s="109"/>
    </row>
    <row r="223" spans="2:5">
      <c r="B223" s="110" t="s">
        <v>330</v>
      </c>
      <c r="C223" s="129">
        <f>5450000*7.49</f>
        <v>40820500</v>
      </c>
      <c r="D223" s="111" t="s">
        <v>331</v>
      </c>
    </row>
    <row r="224" spans="2:5">
      <c r="B224" s="54" t="s">
        <v>356</v>
      </c>
      <c r="C224" s="111">
        <f>C223-C225</f>
        <v>6516300</v>
      </c>
      <c r="D224" s="20" t="s">
        <v>397</v>
      </c>
    </row>
    <row r="225" spans="2:5">
      <c r="B225" s="54" t="s">
        <v>357</v>
      </c>
      <c r="C225" s="111">
        <v>34304200</v>
      </c>
    </row>
    <row r="227" spans="2:5">
      <c r="B227" t="s">
        <v>359</v>
      </c>
      <c r="C227" s="115">
        <v>477</v>
      </c>
    </row>
    <row r="228" spans="2:5">
      <c r="B228" t="s">
        <v>358</v>
      </c>
      <c r="C228" s="115">
        <v>1880</v>
      </c>
    </row>
    <row r="229" spans="2:5">
      <c r="B229" s="54" t="s">
        <v>360</v>
      </c>
      <c r="C229" s="116">
        <f>SUM(C227:C228)</f>
        <v>2357</v>
      </c>
    </row>
    <row r="230" spans="2:5">
      <c r="C230" s="115"/>
    </row>
    <row r="231" spans="2:5" ht="18.75">
      <c r="B231" t="s">
        <v>361</v>
      </c>
      <c r="C231" s="117">
        <f>-C216-C223</f>
        <v>39378251</v>
      </c>
      <c r="D231" s="20" t="s">
        <v>364</v>
      </c>
    </row>
    <row r="232" spans="2:5" ht="18.75">
      <c r="B232" t="s">
        <v>362</v>
      </c>
      <c r="C232" s="118">
        <f>C231/C229*C227</f>
        <v>7969209.0483665681</v>
      </c>
      <c r="D232" s="20">
        <v>-2000000</v>
      </c>
      <c r="E232" s="119">
        <f>SUM(C232:D232)</f>
        <v>5969209.0483665681</v>
      </c>
    </row>
    <row r="233" spans="2:5" ht="18.75">
      <c r="B233" t="s">
        <v>363</v>
      </c>
      <c r="C233" s="119">
        <f>C231/C229*C228</f>
        <v>31409041.951633435</v>
      </c>
    </row>
    <row r="234" spans="2:5" ht="18.75">
      <c r="B234" t="s">
        <v>363</v>
      </c>
      <c r="C234" s="128">
        <v>2000000</v>
      </c>
    </row>
  </sheetData>
  <hyperlinks>
    <hyperlink ref="B40" r:id="rId1" location="sup194" display="http://www.opten.hu/loadpage.php - sup194"/>
    <hyperlink ref="B53" r:id="rId2" location="sup203" display="http://www.opten.hu/loadpage.php?dest=OISZ&amp;twhich=214774&amp;srcid=ol4366 - sup203"/>
  </hyperlinks>
  <pageMargins left="0.39370078740157483" right="0.39370078740157483" top="0.6692913385826772" bottom="0.37" header="0.3" footer="0.51181102362204722"/>
  <pageSetup paperSize="9" scale="70" orientation="landscape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G8"/>
  <sheetViews>
    <sheetView tabSelected="1" view="pageBreakPreview" zoomScale="60" workbookViewId="0">
      <selection activeCell="D12" sqref="D12"/>
    </sheetView>
  </sheetViews>
  <sheetFormatPr defaultRowHeight="15"/>
  <cols>
    <col min="1" max="1" width="5.140625" customWidth="1"/>
    <col min="2" max="2" width="22.85546875" customWidth="1"/>
    <col min="3" max="3" width="18.28515625" customWidth="1"/>
    <col min="4" max="4" width="19.42578125" customWidth="1"/>
    <col min="5" max="5" width="19.28515625" customWidth="1"/>
    <col min="6" max="6" width="19.42578125" customWidth="1"/>
    <col min="7" max="7" width="21.5703125" customWidth="1"/>
  </cols>
  <sheetData>
    <row r="1" spans="2:7">
      <c r="B1" s="130">
        <v>2020</v>
      </c>
    </row>
    <row r="2" spans="2:7" ht="18.75">
      <c r="B2" s="69"/>
      <c r="C2" s="70" t="s">
        <v>295</v>
      </c>
      <c r="D2" s="70" t="s">
        <v>296</v>
      </c>
      <c r="E2" s="70" t="s">
        <v>297</v>
      </c>
      <c r="F2" s="71" t="s">
        <v>298</v>
      </c>
      <c r="G2" s="71" t="s">
        <v>299</v>
      </c>
    </row>
    <row r="3" spans="2:7" ht="18">
      <c r="B3" s="72" t="s">
        <v>300</v>
      </c>
      <c r="C3" s="73">
        <f>'Rovat Önk. 2020'!C232</f>
        <v>1106837982</v>
      </c>
      <c r="D3" s="73">
        <f>'Rovat Hiv.2020'!C214</f>
        <v>1401224</v>
      </c>
      <c r="E3" s="73">
        <f>'Rovat Ovi 2020'!C220</f>
        <v>28816876</v>
      </c>
      <c r="F3" s="73">
        <f>'Rovat Tem. 2020'!C227</f>
        <v>196387412</v>
      </c>
      <c r="G3" s="74">
        <f>SUM(C3:F3)</f>
        <v>1333443494</v>
      </c>
    </row>
    <row r="4" spans="2:7" ht="18">
      <c r="B4" s="72" t="s">
        <v>301</v>
      </c>
      <c r="C4" s="105">
        <f>'Rovat Önk. 2020'!C127</f>
        <v>840082975.49333334</v>
      </c>
      <c r="D4" s="73">
        <f>'Rovat Hiv.2020'!C122</f>
        <v>81599975</v>
      </c>
      <c r="E4" s="73">
        <f>'Rovat Ovi 2020'!C128</f>
        <v>129954287.11535433</v>
      </c>
      <c r="F4" s="73">
        <f>'Rovat Tem. 2020'!C128</f>
        <v>281806256.875</v>
      </c>
      <c r="G4" s="75">
        <f>SUM(C4:F4)</f>
        <v>1333443494.4836876</v>
      </c>
    </row>
    <row r="5" spans="2:7" ht="18">
      <c r="B5" s="72" t="s">
        <v>302</v>
      </c>
      <c r="C5" s="76">
        <f>C3-C4</f>
        <v>266755006.50666666</v>
      </c>
      <c r="D5" s="76">
        <f>D3-D4</f>
        <v>-80198751</v>
      </c>
      <c r="E5" s="76">
        <f>E3-E4</f>
        <v>-101137411.11535433</v>
      </c>
      <c r="F5" s="76">
        <f>F3-F4</f>
        <v>-85418844.875</v>
      </c>
      <c r="G5" s="77">
        <f>SUM(C5:F5)</f>
        <v>-0.48368766903877258</v>
      </c>
    </row>
    <row r="6" spans="2:7" ht="31.7" customHeight="1">
      <c r="B6" s="78" t="s">
        <v>303</v>
      </c>
      <c r="C6" s="79"/>
      <c r="D6" s="79"/>
      <c r="E6" s="79"/>
      <c r="F6" s="79"/>
      <c r="G6" s="79"/>
    </row>
    <row r="8" spans="2:7" ht="18.75">
      <c r="C8" s="104"/>
      <c r="D8" s="104" t="s">
        <v>320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</vt:i4>
      </vt:variant>
    </vt:vector>
  </HeadingPairs>
  <TitlesOfParts>
    <vt:vector size="6" baseType="lpstr">
      <vt:lpstr>Rovat Önk. 2020</vt:lpstr>
      <vt:lpstr>Rovat Tem. 2020</vt:lpstr>
      <vt:lpstr>Rovat Ovi 2020</vt:lpstr>
      <vt:lpstr>Rovat Hiv.2020</vt:lpstr>
      <vt:lpstr>összesen</vt:lpstr>
      <vt:lpstr>'Rovat Tem. 2020'!Nyomtatási_terület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Boa Vanessza</dc:creator>
  <cp:lastModifiedBy>Boa Vanessza</cp:lastModifiedBy>
  <cp:lastPrinted>2020-02-03T09:14:05Z</cp:lastPrinted>
  <dcterms:created xsi:type="dcterms:W3CDTF">2018-01-22T07:34:51Z</dcterms:created>
  <dcterms:modified xsi:type="dcterms:W3CDTF">2020-02-03T11:37:06Z</dcterms:modified>
</cp:coreProperties>
</file>