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3" yWindow="-113" windowWidth="22814" windowHeight="12579" tabRatio="808"/>
  </bookViews>
  <sheets>
    <sheet name="1 bevétel-kiadás" sheetId="1" r:id="rId1"/>
    <sheet name="2 helyi adó bev." sheetId="2" r:id="rId2"/>
    <sheet name="3 tám.ért. bev." sheetId="3" r:id="rId3"/>
    <sheet name="4 ktgvetési tám. bev." sheetId="4" r:id="rId4"/>
    <sheet name="5 EU-s pr. bev-kiad." sheetId="5" r:id="rId5"/>
    <sheet name="6 Ber-Felúj. kiad." sheetId="6" r:id="rId6"/>
    <sheet name="7 átadott pénzeszk." sheetId="7" r:id="rId7"/>
    <sheet name="8 ellátotak jutt." sheetId="8" r:id="rId8"/>
    <sheet name="9 létszám" sheetId="9" r:id="rId9"/>
    <sheet name="10 közvetett tám-ok kiad." sheetId="14" r:id="rId10"/>
    <sheet name="11 ktgvetési mérleg" sheetId="11" r:id="rId11"/>
    <sheet name="12 EI felh.terv" sheetId="12" r:id="rId12"/>
    <sheet name="Munka1" sheetId="13" r:id="rId13"/>
  </sheets>
  <definedNames>
    <definedName name="_xlnm.Print_Area" localSheetId="0">'1 bevétel-kiadás'!$A$1:$P$65</definedName>
    <definedName name="_xlnm.Print_Area" localSheetId="10">'11 ktgvetési mérleg'!$A$1:$G$31</definedName>
    <definedName name="_xlnm.Print_Area" localSheetId="6">'7 átadott pénzeszk.'!$A$1:$H$23</definedName>
  </definedNames>
  <calcPr calcId="181029"/>
</workbook>
</file>

<file path=xl/calcChain.xml><?xml version="1.0" encoding="utf-8"?>
<calcChain xmlns="http://schemas.openxmlformats.org/spreadsheetml/2006/main">
  <c r="G25" i="11"/>
  <c r="D19" i="4"/>
  <c r="D18"/>
  <c r="D13"/>
  <c r="D11" i="8"/>
  <c r="D12" i="7"/>
  <c r="M35" i="6"/>
  <c r="J33"/>
  <c r="M33" s="1"/>
  <c r="J35"/>
  <c r="I35"/>
  <c r="K35"/>
  <c r="D34"/>
  <c r="J34" s="1"/>
  <c r="M34" s="1"/>
  <c r="I34"/>
  <c r="K34"/>
  <c r="J32"/>
  <c r="M32" s="1"/>
  <c r="I32"/>
  <c r="K32"/>
  <c r="D27"/>
  <c r="J26"/>
  <c r="M26"/>
  <c r="I26"/>
  <c r="K26"/>
  <c r="F29" i="3"/>
  <c r="H29"/>
  <c r="G23"/>
  <c r="G24"/>
  <c r="G25"/>
  <c r="G26"/>
  <c r="G27"/>
  <c r="G28"/>
  <c r="G22"/>
  <c r="G29" s="1"/>
  <c r="D29"/>
  <c r="E22"/>
  <c r="E29" s="1"/>
  <c r="C29"/>
  <c r="D9"/>
  <c r="D16" s="1"/>
  <c r="G15"/>
  <c r="G14"/>
  <c r="G13"/>
  <c r="E13"/>
  <c r="G12"/>
  <c r="E12"/>
  <c r="G11"/>
  <c r="E11"/>
  <c r="D15" i="1"/>
  <c r="D7"/>
  <c r="D40"/>
  <c r="H40"/>
  <c r="D41"/>
  <c r="D48"/>
  <c r="D9"/>
  <c r="J40"/>
  <c r="J39"/>
  <c r="J38"/>
  <c r="J7"/>
  <c r="F7"/>
  <c r="F40"/>
  <c r="F39"/>
  <c r="F38"/>
  <c r="G29" i="11"/>
  <c r="F29"/>
  <c r="C36" i="6"/>
  <c r="L37"/>
  <c r="N37"/>
  <c r="I25"/>
  <c r="J25"/>
  <c r="K25"/>
  <c r="M25"/>
  <c r="I27"/>
  <c r="J27"/>
  <c r="M27" s="1"/>
  <c r="K27"/>
  <c r="J28"/>
  <c r="M28"/>
  <c r="I29"/>
  <c r="J29"/>
  <c r="K29"/>
  <c r="M29"/>
  <c r="I30"/>
  <c r="J30"/>
  <c r="K30"/>
  <c r="M30"/>
  <c r="I31"/>
  <c r="J31"/>
  <c r="K31"/>
  <c r="M31"/>
  <c r="I33"/>
  <c r="K33"/>
  <c r="I36"/>
  <c r="J36"/>
  <c r="M36" s="1"/>
  <c r="K36"/>
  <c r="D37"/>
  <c r="C28"/>
  <c r="K28" s="1"/>
  <c r="C21"/>
  <c r="C19"/>
  <c r="C18"/>
  <c r="C15"/>
  <c r="C37" s="1"/>
  <c r="C10"/>
  <c r="C9"/>
  <c r="C53" i="1"/>
  <c r="E40"/>
  <c r="I28" i="6" l="1"/>
  <c r="F15" i="11" l="1"/>
  <c r="C15"/>
  <c r="C16"/>
  <c r="C17"/>
  <c r="C19"/>
  <c r="C20"/>
  <c r="C21"/>
  <c r="C22"/>
  <c r="C14"/>
  <c r="C22" i="14"/>
  <c r="C23" i="11" l="1"/>
  <c r="G9" i="8" l="1"/>
  <c r="E9"/>
  <c r="C10" i="7"/>
  <c r="C44" i="6"/>
  <c r="J21"/>
  <c r="M21" s="1"/>
  <c r="K21"/>
  <c r="J22"/>
  <c r="M22" s="1"/>
  <c r="K22"/>
  <c r="J23"/>
  <c r="M23" s="1"/>
  <c r="K23"/>
  <c r="I21"/>
  <c r="I22"/>
  <c r="I23"/>
  <c r="D14" i="4"/>
  <c r="D20"/>
  <c r="C19"/>
  <c r="D49" i="1"/>
  <c r="D8"/>
  <c r="D18" s="1"/>
  <c r="C9"/>
  <c r="C8"/>
  <c r="C18" s="1"/>
  <c r="D55" l="1"/>
  <c r="K8" i="9"/>
  <c r="C10"/>
  <c r="G11" i="8"/>
  <c r="E11"/>
  <c r="D45" i="6"/>
  <c r="I44"/>
  <c r="J44"/>
  <c r="K44"/>
  <c r="M44"/>
  <c r="K9"/>
  <c r="K10"/>
  <c r="K11"/>
  <c r="K12"/>
  <c r="K13"/>
  <c r="K14"/>
  <c r="K15"/>
  <c r="K16"/>
  <c r="K17"/>
  <c r="K18"/>
  <c r="K19"/>
  <c r="K20"/>
  <c r="K43"/>
  <c r="K24"/>
  <c r="E37"/>
  <c r="F37"/>
  <c r="G37"/>
  <c r="G55" s="1"/>
  <c r="H37"/>
  <c r="J9"/>
  <c r="M9" s="1"/>
  <c r="J10"/>
  <c r="M10" s="1"/>
  <c r="J11"/>
  <c r="M11" s="1"/>
  <c r="J12"/>
  <c r="M12" s="1"/>
  <c r="J13"/>
  <c r="M13" s="1"/>
  <c r="J14"/>
  <c r="M14" s="1"/>
  <c r="J15"/>
  <c r="M15" s="1"/>
  <c r="J16"/>
  <c r="M16" s="1"/>
  <c r="J17"/>
  <c r="M17" s="1"/>
  <c r="J18"/>
  <c r="M18" s="1"/>
  <c r="J19"/>
  <c r="M19" s="1"/>
  <c r="J20"/>
  <c r="M20" s="1"/>
  <c r="J43"/>
  <c r="M43" s="1"/>
  <c r="J24"/>
  <c r="M24" s="1"/>
  <c r="I9"/>
  <c r="I10"/>
  <c r="I11"/>
  <c r="I12"/>
  <c r="I13"/>
  <c r="I14"/>
  <c r="I15"/>
  <c r="I16"/>
  <c r="I17"/>
  <c r="I18"/>
  <c r="I19"/>
  <c r="I20"/>
  <c r="I43"/>
  <c r="I45" s="1"/>
  <c r="I24"/>
  <c r="F20" i="4"/>
  <c r="D22"/>
  <c r="F14"/>
  <c r="C20"/>
  <c r="E14" i="2"/>
  <c r="O61" i="1"/>
  <c r="O56"/>
  <c r="O57"/>
  <c r="O58"/>
  <c r="O54"/>
  <c r="O47"/>
  <c r="O43"/>
  <c r="O44"/>
  <c r="O45"/>
  <c r="O46"/>
  <c r="O48"/>
  <c r="O50"/>
  <c r="O51"/>
  <c r="M54"/>
  <c r="O53"/>
  <c r="O39"/>
  <c r="O40"/>
  <c r="O38"/>
  <c r="C24" i="14"/>
  <c r="D32"/>
  <c r="C32"/>
  <c r="D28"/>
  <c r="C28"/>
  <c r="D24"/>
  <c r="D20"/>
  <c r="C20"/>
  <c r="D16"/>
  <c r="C16"/>
  <c r="G26" i="11"/>
  <c r="G17"/>
  <c r="G16"/>
  <c r="D15" i="2"/>
  <c r="L45" i="1"/>
  <c r="L46"/>
  <c r="K45"/>
  <c r="K46"/>
  <c r="F16" i="11" s="1"/>
  <c r="K43" i="1"/>
  <c r="F13" i="11" s="1"/>
  <c r="D42" i="1"/>
  <c r="D52" s="1"/>
  <c r="G8" i="11"/>
  <c r="J8" i="6"/>
  <c r="I8"/>
  <c r="D21" i="11"/>
  <c r="D26"/>
  <c r="H12" i="8"/>
  <c r="F12"/>
  <c r="C16" i="3"/>
  <c r="C31" s="1"/>
  <c r="N49" i="1"/>
  <c r="P47"/>
  <c r="L43"/>
  <c r="L42" s="1"/>
  <c r="C53" i="6"/>
  <c r="C45"/>
  <c r="C55" s="1"/>
  <c r="O14" i="1"/>
  <c r="G24" i="11"/>
  <c r="G21"/>
  <c r="G20"/>
  <c r="G13"/>
  <c r="D20"/>
  <c r="D19"/>
  <c r="D16"/>
  <c r="D13"/>
  <c r="D12"/>
  <c r="G23"/>
  <c r="D12" i="8"/>
  <c r="G15" i="11"/>
  <c r="L48" i="1"/>
  <c r="G10" i="11"/>
  <c r="G9"/>
  <c r="O15" i="1"/>
  <c r="D14" i="11"/>
  <c r="D31" i="3"/>
  <c r="G8"/>
  <c r="G9"/>
  <c r="G10"/>
  <c r="O9" i="1"/>
  <c r="O10"/>
  <c r="O11"/>
  <c r="O12"/>
  <c r="O13"/>
  <c r="O16"/>
  <c r="O17"/>
  <c r="O19"/>
  <c r="O20"/>
  <c r="O21"/>
  <c r="O22"/>
  <c r="O23"/>
  <c r="O26"/>
  <c r="O27"/>
  <c r="O29"/>
  <c r="D10" i="5"/>
  <c r="E10" s="1"/>
  <c r="E9"/>
  <c r="C10"/>
  <c r="K9" i="9"/>
  <c r="C42" i="1"/>
  <c r="C41"/>
  <c r="F11" i="11" s="1"/>
  <c r="K48" i="1"/>
  <c r="F18" i="11" s="1"/>
  <c r="K38" i="1"/>
  <c r="F8" i="11" s="1"/>
  <c r="K39" i="1"/>
  <c r="F9" i="11" s="1"/>
  <c r="K40" i="1"/>
  <c r="F10" i="11" s="1"/>
  <c r="M7" i="1"/>
  <c r="D12" i="12"/>
  <c r="E12"/>
  <c r="F12"/>
  <c r="G12"/>
  <c r="H12"/>
  <c r="I12"/>
  <c r="J12"/>
  <c r="K12"/>
  <c r="L12"/>
  <c r="M12"/>
  <c r="N12"/>
  <c r="C12"/>
  <c r="D10"/>
  <c r="E10"/>
  <c r="F10"/>
  <c r="G10"/>
  <c r="H10"/>
  <c r="I10"/>
  <c r="J10"/>
  <c r="K10"/>
  <c r="L10"/>
  <c r="M10"/>
  <c r="N10"/>
  <c r="C10"/>
  <c r="N53" i="6"/>
  <c r="L53"/>
  <c r="H53"/>
  <c r="G53"/>
  <c r="F53"/>
  <c r="E53"/>
  <c r="C12" i="8"/>
  <c r="E10" i="4"/>
  <c r="E8" i="3"/>
  <c r="M40" i="1"/>
  <c r="E19" i="4"/>
  <c r="F16"/>
  <c r="F12"/>
  <c r="E12"/>
  <c r="K10" i="9"/>
  <c r="D10"/>
  <c r="E10"/>
  <c r="F10"/>
  <c r="G10"/>
  <c r="H10"/>
  <c r="I10"/>
  <c r="J10"/>
  <c r="M8"/>
  <c r="N10"/>
  <c r="P10"/>
  <c r="G10" i="8"/>
  <c r="G12" s="1"/>
  <c r="E10"/>
  <c r="F15" i="2"/>
  <c r="H15"/>
  <c r="G8"/>
  <c r="G9"/>
  <c r="G10"/>
  <c r="G11"/>
  <c r="G12"/>
  <c r="G13"/>
  <c r="G14"/>
  <c r="E8"/>
  <c r="E9"/>
  <c r="E10"/>
  <c r="E11"/>
  <c r="E12"/>
  <c r="E13"/>
  <c r="C15"/>
  <c r="P59" i="1"/>
  <c r="E49"/>
  <c r="E52" s="1"/>
  <c r="E60" s="1"/>
  <c r="E62" s="1"/>
  <c r="E42"/>
  <c r="F49"/>
  <c r="O49" s="1"/>
  <c r="F42"/>
  <c r="F52" s="1"/>
  <c r="F60" s="1"/>
  <c r="F62" s="1"/>
  <c r="G49"/>
  <c r="G42"/>
  <c r="G52"/>
  <c r="H49"/>
  <c r="H52" s="1"/>
  <c r="H42"/>
  <c r="I49"/>
  <c r="I52" s="1"/>
  <c r="I60" s="1"/>
  <c r="I62" s="1"/>
  <c r="I42"/>
  <c r="J49"/>
  <c r="J42"/>
  <c r="J52" s="1"/>
  <c r="J60" s="1"/>
  <c r="J62" s="1"/>
  <c r="K50"/>
  <c r="F20" i="11" s="1"/>
  <c r="K51" i="1"/>
  <c r="F21" i="11" s="1"/>
  <c r="K44" i="1"/>
  <c r="F14" i="11" s="1"/>
  <c r="K47" i="1"/>
  <c r="K41"/>
  <c r="L50"/>
  <c r="L51"/>
  <c r="L44"/>
  <c r="L39"/>
  <c r="M50"/>
  <c r="M51"/>
  <c r="M43"/>
  <c r="M42" s="1"/>
  <c r="M44"/>
  <c r="M39"/>
  <c r="M38"/>
  <c r="N47"/>
  <c r="N42" s="1"/>
  <c r="N52" s="1"/>
  <c r="P42"/>
  <c r="C49"/>
  <c r="C22" i="4"/>
  <c r="E22" s="1"/>
  <c r="E15"/>
  <c r="E16"/>
  <c r="F9"/>
  <c r="F10"/>
  <c r="F13"/>
  <c r="F17"/>
  <c r="F18"/>
  <c r="F21"/>
  <c r="F22"/>
  <c r="F11"/>
  <c r="F8"/>
  <c r="E7" i="3"/>
  <c r="E16" s="1"/>
  <c r="E31" s="1"/>
  <c r="E10"/>
  <c r="E9"/>
  <c r="G7"/>
  <c r="G7" i="2"/>
  <c r="G15" s="1"/>
  <c r="E7"/>
  <c r="E15" s="1"/>
  <c r="L8" i="9"/>
  <c r="L9"/>
  <c r="O9" s="1"/>
  <c r="F18" i="7"/>
  <c r="H18"/>
  <c r="F19"/>
  <c r="H19"/>
  <c r="F20"/>
  <c r="H20"/>
  <c r="F21"/>
  <c r="H21"/>
  <c r="H17"/>
  <c r="F17"/>
  <c r="H9"/>
  <c r="H10"/>
  <c r="H11"/>
  <c r="H12"/>
  <c r="H8"/>
  <c r="F9"/>
  <c r="F10"/>
  <c r="F11"/>
  <c r="F12"/>
  <c r="F8"/>
  <c r="F13" s="1"/>
  <c r="G22"/>
  <c r="E22"/>
  <c r="E13"/>
  <c r="D22"/>
  <c r="C22"/>
  <c r="C13"/>
  <c r="K8" i="6"/>
  <c r="K37" s="1"/>
  <c r="L45"/>
  <c r="L55" s="1"/>
  <c r="N45"/>
  <c r="H45"/>
  <c r="G45"/>
  <c r="F45"/>
  <c r="E45"/>
  <c r="E55" s="1"/>
  <c r="E9" i="4"/>
  <c r="E13"/>
  <c r="E17"/>
  <c r="E18"/>
  <c r="E21"/>
  <c r="E11"/>
  <c r="E8"/>
  <c r="F16" i="3"/>
  <c r="F31" s="1"/>
  <c r="H16"/>
  <c r="H31" s="1"/>
  <c r="G16"/>
  <c r="G31" s="1"/>
  <c r="L53" i="1"/>
  <c r="L54"/>
  <c r="L56"/>
  <c r="L57"/>
  <c r="L58"/>
  <c r="M56"/>
  <c r="M55" s="1"/>
  <c r="M57"/>
  <c r="M58"/>
  <c r="K56"/>
  <c r="K55" s="1"/>
  <c r="K57"/>
  <c r="K58"/>
  <c r="N55"/>
  <c r="N59"/>
  <c r="M61"/>
  <c r="M9"/>
  <c r="M10"/>
  <c r="M11"/>
  <c r="M12"/>
  <c r="M13"/>
  <c r="M14"/>
  <c r="M15"/>
  <c r="M16"/>
  <c r="M17"/>
  <c r="M19"/>
  <c r="M20"/>
  <c r="M21"/>
  <c r="M22"/>
  <c r="M23"/>
  <c r="M26"/>
  <c r="M27"/>
  <c r="M29"/>
  <c r="D24"/>
  <c r="F8"/>
  <c r="F18" s="1"/>
  <c r="H8"/>
  <c r="J8"/>
  <c r="J18"/>
  <c r="J25" s="1"/>
  <c r="J28" s="1"/>
  <c r="O12" i="12" s="1"/>
  <c r="K54" i="1"/>
  <c r="F24" i="11" s="1"/>
  <c r="K61" i="1"/>
  <c r="L61"/>
  <c r="K9"/>
  <c r="C10" i="11" s="1"/>
  <c r="L9" i="1"/>
  <c r="K10"/>
  <c r="C11" i="11" s="1"/>
  <c r="L10" i="1"/>
  <c r="K11"/>
  <c r="C12" i="11" s="1"/>
  <c r="L11" i="1"/>
  <c r="K12"/>
  <c r="C13" i="11" s="1"/>
  <c r="L12" i="1"/>
  <c r="K13"/>
  <c r="L13"/>
  <c r="K14"/>
  <c r="L14"/>
  <c r="K15"/>
  <c r="L15"/>
  <c r="K16"/>
  <c r="L16"/>
  <c r="K17"/>
  <c r="L17"/>
  <c r="K19"/>
  <c r="L19"/>
  <c r="K20"/>
  <c r="L20"/>
  <c r="K21"/>
  <c r="L21"/>
  <c r="K22"/>
  <c r="L22"/>
  <c r="K23"/>
  <c r="L23"/>
  <c r="F24"/>
  <c r="H24"/>
  <c r="J24"/>
  <c r="K26"/>
  <c r="C25" i="11" s="1"/>
  <c r="L26" i="1"/>
  <c r="D25" i="11" s="1"/>
  <c r="K27" i="1"/>
  <c r="L27"/>
  <c r="K29"/>
  <c r="L29"/>
  <c r="K7"/>
  <c r="C8" i="11" s="1"/>
  <c r="E8" i="1"/>
  <c r="K8" s="1"/>
  <c r="C9" i="11" s="1"/>
  <c r="E18" i="1"/>
  <c r="E25" s="1"/>
  <c r="E28" s="1"/>
  <c r="E24"/>
  <c r="E55"/>
  <c r="E59"/>
  <c r="F55"/>
  <c r="F59"/>
  <c r="J55"/>
  <c r="J59"/>
  <c r="I55"/>
  <c r="I59"/>
  <c r="H55"/>
  <c r="H59" s="1"/>
  <c r="G55"/>
  <c r="G59"/>
  <c r="G60"/>
  <c r="G62" s="1"/>
  <c r="C55"/>
  <c r="C59"/>
  <c r="I24"/>
  <c r="G24"/>
  <c r="I8"/>
  <c r="I18"/>
  <c r="G8"/>
  <c r="G18" s="1"/>
  <c r="G25" s="1"/>
  <c r="G28" s="1"/>
  <c r="C24"/>
  <c r="K24" s="1"/>
  <c r="G13" i="7"/>
  <c r="D13"/>
  <c r="K53" i="1"/>
  <c r="K53" i="6"/>
  <c r="C14" i="4"/>
  <c r="E14" s="1"/>
  <c r="D10" i="11"/>
  <c r="D15"/>
  <c r="G18"/>
  <c r="M9" i="9"/>
  <c r="M48" i="1"/>
  <c r="L47"/>
  <c r="P52"/>
  <c r="P60" s="1"/>
  <c r="P62" s="1"/>
  <c r="L40"/>
  <c r="L38"/>
  <c r="D8" i="11"/>
  <c r="H18" i="1"/>
  <c r="H25" s="1"/>
  <c r="H28" s="1"/>
  <c r="O7"/>
  <c r="L7"/>
  <c r="O8" i="9"/>
  <c r="I53" i="6"/>
  <c r="N55"/>
  <c r="K45"/>
  <c r="M53"/>
  <c r="D53"/>
  <c r="D59" i="1"/>
  <c r="M49"/>
  <c r="L41"/>
  <c r="D9" i="11"/>
  <c r="J45" i="6"/>
  <c r="H55"/>
  <c r="J53"/>
  <c r="F19" i="11" l="1"/>
  <c r="F12"/>
  <c r="H22" i="7"/>
  <c r="F22"/>
  <c r="H60" i="1"/>
  <c r="H62" s="1"/>
  <c r="F25"/>
  <c r="F28" s="1"/>
  <c r="O10" i="12" s="1"/>
  <c r="N60" i="1"/>
  <c r="N62" s="1"/>
  <c r="F22" i="11"/>
  <c r="O8" i="1"/>
  <c r="M41"/>
  <c r="I25"/>
  <c r="I28" s="1"/>
  <c r="O24"/>
  <c r="K42"/>
  <c r="L8"/>
  <c r="L24"/>
  <c r="M8"/>
  <c r="C18" i="11"/>
  <c r="C24" s="1"/>
  <c r="C27" s="1"/>
  <c r="L55" i="1"/>
  <c r="C52"/>
  <c r="G27" i="11"/>
  <c r="I37" i="6"/>
  <c r="O55" i="1"/>
  <c r="O59" s="1"/>
  <c r="L10" i="9"/>
  <c r="M45" i="6"/>
  <c r="D33" i="14"/>
  <c r="H13" i="7"/>
  <c r="M8" i="6"/>
  <c r="M37" s="1"/>
  <c r="J37"/>
  <c r="J55" s="1"/>
  <c r="L59" i="1"/>
  <c r="O42"/>
  <c r="K55" i="6"/>
  <c r="M24" i="1"/>
  <c r="C25"/>
  <c r="C28" s="1"/>
  <c r="M28" s="1"/>
  <c r="M53"/>
  <c r="M59" s="1"/>
  <c r="F23" i="11"/>
  <c r="F27" s="1"/>
  <c r="I30" i="1"/>
  <c r="I32" s="1"/>
  <c r="L49"/>
  <c r="O41"/>
  <c r="G11" i="11"/>
  <c r="D23"/>
  <c r="D18"/>
  <c r="G19"/>
  <c r="C33" i="14"/>
  <c r="M10" i="9"/>
  <c r="O10"/>
  <c r="E12" i="8"/>
  <c r="F55" i="6"/>
  <c r="D55"/>
  <c r="M55"/>
  <c r="I55"/>
  <c r="E20" i="4"/>
  <c r="C23"/>
  <c r="F15"/>
  <c r="F23" s="1"/>
  <c r="D23"/>
  <c r="E23"/>
  <c r="K49" i="1"/>
  <c r="L18"/>
  <c r="F31"/>
  <c r="H31"/>
  <c r="H30"/>
  <c r="H32" s="1"/>
  <c r="O11" i="12"/>
  <c r="I31" i="1"/>
  <c r="E30"/>
  <c r="E32" s="1"/>
  <c r="K52"/>
  <c r="M18"/>
  <c r="K18"/>
  <c r="D25"/>
  <c r="O18"/>
  <c r="D60"/>
  <c r="D62" s="1"/>
  <c r="K59"/>
  <c r="C60"/>
  <c r="C62" s="1"/>
  <c r="J30"/>
  <c r="J32" s="1"/>
  <c r="J31"/>
  <c r="G30"/>
  <c r="G32" s="1"/>
  <c r="G31"/>
  <c r="L52"/>
  <c r="L60" s="1"/>
  <c r="L62" s="1"/>
  <c r="F30"/>
  <c r="F32" s="1"/>
  <c r="E31"/>
  <c r="M52"/>
  <c r="M60" s="1"/>
  <c r="M62" s="1"/>
  <c r="G12" i="11"/>
  <c r="F28" l="1"/>
  <c r="F30" s="1"/>
  <c r="O52" i="1"/>
  <c r="O60" s="1"/>
  <c r="O62" s="1"/>
  <c r="K28"/>
  <c r="M25"/>
  <c r="C30"/>
  <c r="K30" s="1"/>
  <c r="K25"/>
  <c r="K60"/>
  <c r="K62" s="1"/>
  <c r="D24" i="11"/>
  <c r="D27" s="1"/>
  <c r="G22"/>
  <c r="C31" i="1"/>
  <c r="K31" s="1"/>
  <c r="J11" i="12"/>
  <c r="H11"/>
  <c r="L11"/>
  <c r="I11"/>
  <c r="E11"/>
  <c r="F11"/>
  <c r="C11"/>
  <c r="D11"/>
  <c r="M11"/>
  <c r="K11"/>
  <c r="G11"/>
  <c r="N11"/>
  <c r="D28" i="1"/>
  <c r="D30" s="1"/>
  <c r="O25"/>
  <c r="L25"/>
  <c r="M30"/>
  <c r="G28" i="11" l="1"/>
  <c r="G30" s="1"/>
  <c r="C32" i="1"/>
  <c r="K32" s="1"/>
  <c r="M31"/>
  <c r="L30"/>
  <c r="O30"/>
  <c r="D32"/>
  <c r="O32" s="1"/>
  <c r="L28"/>
  <c r="O9" i="12"/>
  <c r="O28" i="1"/>
  <c r="D31"/>
  <c r="M32"/>
  <c r="L32" l="1"/>
  <c r="L31"/>
  <c r="O31"/>
  <c r="L9" i="12"/>
  <c r="L13" s="1"/>
  <c r="H9"/>
  <c r="H13" s="1"/>
  <c r="K9"/>
  <c r="K13" s="1"/>
  <c r="G9"/>
  <c r="G13" s="1"/>
  <c r="F9"/>
  <c r="F13" s="1"/>
  <c r="E9"/>
  <c r="E13" s="1"/>
  <c r="D9"/>
  <c r="D13" s="1"/>
  <c r="J9"/>
  <c r="J13" s="1"/>
  <c r="C9"/>
  <c r="C13" s="1"/>
  <c r="I9"/>
  <c r="I13" s="1"/>
  <c r="N9"/>
  <c r="N13" s="1"/>
  <c r="M9"/>
  <c r="M13" s="1"/>
  <c r="O13"/>
</calcChain>
</file>

<file path=xl/sharedStrings.xml><?xml version="1.0" encoding="utf-8"?>
<sst xmlns="http://schemas.openxmlformats.org/spreadsheetml/2006/main" count="687" uniqueCount="323">
  <si>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</si>
  <si>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</si>
  <si>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</si>
  <si>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</si>
  <si>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</si>
  <si>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</si>
  <si>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</si>
  <si>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</si>
  <si>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</si>
  <si>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</si>
  <si>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</si>
  <si>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</si>
  <si>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</si>
  <si>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</si>
  <si>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</si>
  <si>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</si>
  <si>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</si>
  <si>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</si>
  <si>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</si>
  <si>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</si>
  <si>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</si>
  <si>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</si>
  <si>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</si>
  <si>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</si>
  <si>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</si>
  <si>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</si>
  <si>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</si>
  <si>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</si>
  <si>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</si>
  <si>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</si>
  <si>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</si>
  <si>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</si>
  <si>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</si>
  <si>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</si>
  <si>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</si>
  <si>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</si>
  <si>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</si>
  <si>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</si>
  <si>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Költségvetési többlet (BEVÉTELEK ÖSSZESEN-KIADÁSOK ÖSSZESEN (+) )</t>
  </si>
  <si>
    <t>Előző évi előirányzat-maradvány, pénzmaradvány és előző évi vállalkozási maradvány igénybevétele utáni hiány vagy többlet (Költségvetési hiány+Előző évi maradvány igénybevétele)  (Költségvetési többlet+előző évi maradvány igénybevétele)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</si>
  <si>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</si>
  <si>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</si>
  <si>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</si>
  <si>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</si>
  <si>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</si>
  <si>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</si>
  <si>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</si>
  <si>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</si>
  <si>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</si>
  <si>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</si>
  <si>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</si>
  <si>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</si>
  <si>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</si>
  <si>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</si>
  <si>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Egyéb felhalmozási kiadások </t>
  </si>
  <si>
    <t xml:space="preserve">   befektetési célú részesedések vásárlása </t>
  </si>
  <si>
    <t xml:space="preserve">   felhalmozási célú pénzeszközátadások államháztartáson kívülre </t>
  </si>
  <si>
    <t>FELHALMOZÁSI KIADÁSOK ÖSSZESEN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</si>
  <si>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</si>
  <si>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</si>
  <si>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</si>
  <si>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</si>
  <si>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</si>
  <si>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</si>
  <si>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</si>
  <si>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</si>
  <si>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</si>
  <si>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</si>
  <si>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</si>
  <si>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</si>
  <si>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</si>
  <si>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</si>
  <si>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</si>
  <si>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N</t>
  </si>
  <si>
    <t>O</t>
  </si>
  <si>
    <t>Önkormányzat módosított előirányzatai</t>
  </si>
  <si>
    <t>Helyi adók összesen:</t>
  </si>
  <si>
    <t xml:space="preserve">E </t>
  </si>
  <si>
    <t xml:space="preserve">Támogatásértékű működési bevételek </t>
  </si>
  <si>
    <t xml:space="preserve">Támogatásértékű felhalmozási bevételek </t>
  </si>
  <si>
    <t>Támogatásértékű bevételek mindösszesen</t>
  </si>
  <si>
    <t>HELYI ADÓ BEVÉTELEK</t>
  </si>
  <si>
    <t>KÖZPONTI KÖLTSÉGVETÉSBŐL SZÁRMAZÓ TÁMOGATÁSOK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</si>
  <si>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</si>
  <si>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</si>
  <si>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</si>
  <si>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</si>
  <si>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</si>
  <si>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</si>
  <si>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</si>
  <si>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</si>
  <si>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Európai Uniós Projektek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</si>
  <si>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</si>
  <si>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</si>
  <si>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</si>
  <si>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</si>
  <si>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</si>
  <si>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</si>
  <si>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BERUHÁZÁS-FELÚJÍTÁS</t>
  </si>
  <si>
    <t>Beruházás</t>
  </si>
  <si>
    <t>Felújítás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</si>
  <si>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</si>
  <si>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</si>
  <si>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</si>
  <si>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</si>
  <si>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</si>
  <si>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</si>
  <si>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</si>
  <si>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</si>
  <si>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>ÁTADOTT PÉNZESZKÖZÖK ÁLLAMHÁZTARTÁSON KÍVÜLRE</t>
  </si>
  <si>
    <t>LÉTSZÁM</t>
  </si>
  <si>
    <t xml:space="preserve">Létszám összesen </t>
  </si>
  <si>
    <t>MÉRLEG ÖNKORMÁNYZATI ÖSSZESEN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</si>
  <si>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</si>
  <si>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</si>
  <si>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</si>
  <si>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</si>
  <si>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</si>
  <si>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</si>
  <si>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</si>
  <si>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</si>
  <si>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</si>
  <si>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</si>
  <si>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</si>
  <si>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</si>
  <si>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</si>
  <si>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</si>
  <si>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</si>
  <si>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</si>
  <si>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</si>
  <si>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</si>
  <si>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</si>
  <si>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</si>
  <si>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</si>
  <si>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</si>
  <si>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ELŐIRÁNYZAT FELHASZNÁLÁSI TERV</t>
  </si>
  <si>
    <t>Alsóörs Község Önkormányzata</t>
  </si>
  <si>
    <t>Alsóörsi Közös Önkormányzati Hivatal</t>
  </si>
  <si>
    <t>Alsóörsi Településműködtetési és Községgazdálkodási Szervezet</t>
  </si>
  <si>
    <t>Mindösszesen</t>
  </si>
  <si>
    <t>Talajterhelési díj</t>
  </si>
  <si>
    <t>Kistelepülések szociális feladatainak támogatása</t>
  </si>
  <si>
    <t>Helyi önkormnyzatok általános működésének támogatása összesen</t>
  </si>
  <si>
    <t>Települési önkormányzatok köznevelési feladatainak támogatása összesen</t>
  </si>
  <si>
    <t>Szociális étkeztetés</t>
  </si>
  <si>
    <t>Külterülettel kapcsolatos feladatok támogatása</t>
  </si>
  <si>
    <t>Költségvetési bevételek összesen</t>
  </si>
  <si>
    <t xml:space="preserve">  Ellátottak juttatásai,  társadalom-, szociálpolitikai és egyéb juttatás, támogatás</t>
  </si>
  <si>
    <t>Beruházások</t>
  </si>
  <si>
    <t>Műk.c.tám. EGYHÁZ</t>
  </si>
  <si>
    <t>Műk.c.tám. NONPROFIT GAZD.TÁRS.</t>
  </si>
  <si>
    <t>Műk.c.tám. EGYÉB CIVIL SZERV. (alapítvány, egyesület, helyi szervezet)</t>
  </si>
  <si>
    <t>Műk.c.tám. HÁZTARTÁSOK</t>
  </si>
  <si>
    <t>Műk.c.tám. EGYÉB VÁLLALKOZÁSOK</t>
  </si>
  <si>
    <t>Felh.c.tám. EGYHÁZ</t>
  </si>
  <si>
    <t>Felh.c.tám. NONPROFIT GAZD.TÁRS.</t>
  </si>
  <si>
    <t>Felh.c.tám. HÁZTARTÁSOK</t>
  </si>
  <si>
    <t>ELLÁTOTTAK JUTTATÁSAI</t>
  </si>
  <si>
    <t>Egyéb műk.c. támogatás (TB alapoktól és kezelőitől)</t>
  </si>
  <si>
    <t>Egyéb műk.c. támogatás (Elkülnített Állami Pénzalapoktól)</t>
  </si>
  <si>
    <t>Egyéb műk.c. támogatás Önk-tól, Önk-i ktgv.szervtől</t>
  </si>
  <si>
    <t>TÁMOGATÁSÉRTÉKŰ BEVÉTELEK</t>
  </si>
  <si>
    <t>Építményadó</t>
  </si>
  <si>
    <t>Telekadó</t>
  </si>
  <si>
    <t>Állandó jelleggel végzett ip.űzési adó</t>
  </si>
  <si>
    <t>Idegenfor.adó épület után</t>
  </si>
  <si>
    <t>Idegenfor.adó tartózkodás után</t>
  </si>
  <si>
    <t>Egyéb közhatalmi bevételek (Pótlékok, illetékek, bírságok)</t>
  </si>
  <si>
    <t>Szakmai</t>
  </si>
  <si>
    <t xml:space="preserve">Intézmény üzemeltetéshez kapcsolódó </t>
  </si>
  <si>
    <t>polgármester 1</t>
  </si>
  <si>
    <t>védőnő 1</t>
  </si>
  <si>
    <t>takarító 0,75</t>
  </si>
  <si>
    <t>jegyző 1</t>
  </si>
  <si>
    <t>aljegyző 1</t>
  </si>
  <si>
    <t>inform. 0,75</t>
  </si>
  <si>
    <t>szoc.ea. 1</t>
  </si>
  <si>
    <t>anyakönyvv. 1</t>
  </si>
  <si>
    <t>int.vez. 1</t>
  </si>
  <si>
    <t>int.vez.h. 1</t>
  </si>
  <si>
    <t>pü.üi. 1</t>
  </si>
  <si>
    <t xml:space="preserve">Előző évi működési célú előirányzat-maradvány, pénzmaradvány  összesen </t>
  </si>
  <si>
    <t>pü 5</t>
  </si>
  <si>
    <t>Kisértékű tárgyi eszkösz</t>
  </si>
  <si>
    <t>egyéb elvonások befizetések</t>
  </si>
  <si>
    <t>a helyi önk. Előző évi elsz. Származó kiadások</t>
  </si>
  <si>
    <t>KÖZVETETT TÁMOGATÁSOK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</si>
  <si>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</si>
  <si>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</si>
  <si>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</si>
  <si>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</si>
  <si>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</si>
  <si>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 xml:space="preserve">Építményadó </t>
  </si>
  <si>
    <t>méltányossági alapon, valamint az állandó lakosok 25 nm kedvezménye</t>
  </si>
  <si>
    <t xml:space="preserve">Telekadó </t>
  </si>
  <si>
    <t xml:space="preserve">méltányossági alapon </t>
  </si>
  <si>
    <t xml:space="preserve">Idegenforgalmi adó tartózkodás után </t>
  </si>
  <si>
    <t xml:space="preserve">Iparűzési adó állandó jelleggel végzett iparűzési tevékenység után </t>
  </si>
  <si>
    <t>adóelőleg csökkentés méltányossági alapon</t>
  </si>
  <si>
    <t>Gépjárműadó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</si>
  <si>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</si>
  <si>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</si>
  <si>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</si>
  <si>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</si>
  <si>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</si>
  <si>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</si>
  <si>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</si>
  <si>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</si>
  <si>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</si>
  <si>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</si>
  <si>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</si>
  <si>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</si>
  <si>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</si>
  <si>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</si>
  <si>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</si>
  <si>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 xml:space="preserve">BEVÉTELEK </t>
  </si>
  <si>
    <t xml:space="preserve">KIADÁSOK 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</si>
  <si>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</si>
  <si>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</si>
  <si>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 xml:space="preserve">   támogatásértékű működési kiadások államáztartáson belülre</t>
  </si>
  <si>
    <t xml:space="preserve">   támogatásértékű felhalmozási kiadások államháztartáson belülre</t>
  </si>
  <si>
    <r>
      <t xml:space="preserve">Gépjárműadó (beszedett összeg </t>
    </r>
    <r>
      <rPr>
        <b/>
        <sz val="10"/>
        <rFont val="Arial"/>
        <family val="2"/>
        <charset val="238"/>
      </rPr>
      <t>40 %-</t>
    </r>
    <r>
      <rPr>
        <sz val="10"/>
        <rFont val="Arial"/>
        <family val="2"/>
        <charset val="238"/>
      </rPr>
      <t>a marad)</t>
    </r>
  </si>
  <si>
    <t>Egyéb műk.c. támogatás (Pályázat, Rendszeres gyv.kedv. 5800/fő Erzsébet utalvány)</t>
  </si>
  <si>
    <t>Közvilágítás</t>
  </si>
  <si>
    <t>Iskola tanterem parkettázás</t>
  </si>
  <si>
    <t>ÁFA</t>
  </si>
  <si>
    <t xml:space="preserve">M </t>
  </si>
  <si>
    <t>A fenti előirányzatokból 2017. költségvetési év azon fejlesztési céljai, amelyek megvalósításához a Stabilitási tv. 3. § (1) bekezdése szerinti adósságot keletkeztető ügylet megkötése válik vagy válhat szükségessé (forrás feltüntetése ezer forintban)</t>
  </si>
  <si>
    <t>könyvtáros 1</t>
  </si>
  <si>
    <t>hivatalsegéd 1</t>
  </si>
  <si>
    <t>adó 3</t>
  </si>
  <si>
    <t>adóellenőr 0,5 (2 fő 6 órás 3,5 hóra)</t>
  </si>
  <si>
    <t>közterület felügyelő 0,75</t>
  </si>
  <si>
    <t xml:space="preserve">2018 évi költségvetés </t>
  </si>
  <si>
    <t xml:space="preserve">BFT pályázat kilátótér, Önk-i fejlesztések pályázat járda, VP pályázat gépbeszerzés </t>
  </si>
  <si>
    <t>Gyermekétkeztetés üzemeltetési támogatása (dolgozók bértámogatása)</t>
  </si>
  <si>
    <t>munkagép beszerzés (VP pály.)</t>
  </si>
  <si>
    <t>tőkeemelés Bahart</t>
  </si>
  <si>
    <t>Merse út, járda</t>
  </si>
  <si>
    <t>Egyéb útportalanítás</t>
  </si>
  <si>
    <t>Törökház járda</t>
  </si>
  <si>
    <t>Kamerák</t>
  </si>
  <si>
    <t>HÉSZ</t>
  </si>
  <si>
    <t>Óvoda konyha tervezés</t>
  </si>
  <si>
    <t>Fogorvosi rendelő vásárlás</t>
  </si>
  <si>
    <t>Játszótér</t>
  </si>
  <si>
    <t>Vízmű telephely</t>
  </si>
  <si>
    <t>Mobil színpad elemek</t>
  </si>
  <si>
    <t>Települési támogatások (önk.rendelet, valamint a Szoc.tv. Alapján: első lakáshoz jutók támogatása, beiskolázási támogatás, segélyek)</t>
  </si>
  <si>
    <t>Ellátottak pénzbeli juttatásai</t>
  </si>
  <si>
    <t>Rendszeres gyermekvédelmi kedvezmény (Erzsébet utalvány)</t>
  </si>
  <si>
    <t>Átmeneti segély, temetési segély, rendk.gyv.tám., Szoc.tv. 45.§ Önk.rend.</t>
  </si>
  <si>
    <t>fizikai 19</t>
  </si>
  <si>
    <t>ebből strand, kemping 7  temüsz 12</t>
  </si>
  <si>
    <t>6 óvónő</t>
  </si>
  <si>
    <t>3 dajka</t>
  </si>
  <si>
    <t>2 ped.assz. (ebből 1 fő 07.31-ig)</t>
  </si>
  <si>
    <t>2 kisgy.nevelő</t>
  </si>
  <si>
    <t>4 szakács</t>
  </si>
  <si>
    <t>1 szakács (bölcsőde)</t>
  </si>
  <si>
    <t>0,5 dajka/takarító (bölcsőde)</t>
  </si>
  <si>
    <t>Napraforgó Óvoda és Bölcsőde</t>
  </si>
  <si>
    <t>adatok főben</t>
  </si>
  <si>
    <t>Iskola tetőtér beépítés</t>
  </si>
  <si>
    <t>Fő u. csapadékvíz elvezetés</t>
  </si>
  <si>
    <t>Teherautó</t>
  </si>
  <si>
    <t>Szökőkút, emlékmű</t>
  </si>
  <si>
    <t>Járdaépítés (BM pály.) Endrődi u., Mihálkovics u. egy része, Iskola előtti szakasz</t>
  </si>
  <si>
    <t>4.hrsz fejlesztése - Kilátó tér (BFT pályázatból)</t>
  </si>
  <si>
    <t>Március 15. u. útépítés és csap.víz</t>
  </si>
  <si>
    <t>Buszmegálló 2 db</t>
  </si>
  <si>
    <t>Egyéb műk.c. támogatás Társulástól</t>
  </si>
  <si>
    <t>Egyéb műk.c. támogatás központi költségvetési szervtől (Bursa)</t>
  </si>
  <si>
    <t>Egyéb műk.c. támogatás Hungaricum pályázat</t>
  </si>
  <si>
    <t>Egyéb műk.c. támogatás BFT nyárbúcsúztató pályázat</t>
  </si>
  <si>
    <t>Egyéb műk.c. támogatás Bethlen Gábor Alap, Testvérkapcsolat pályázat</t>
  </si>
  <si>
    <t>Fejezeti kezelésű előirányzatok EU-s programokra (Kerékpár út)</t>
  </si>
  <si>
    <t>Strandfejlesztés</t>
  </si>
  <si>
    <t>BFT pályázat klátó tér</t>
  </si>
  <si>
    <t>Közművelődési érdekeltségnövelő pályázat</t>
  </si>
  <si>
    <t>Önkormányzati étkeztetések fejelsztésének támogatása</t>
  </si>
  <si>
    <t>Önkormányzati fejlesztések támogatása (Járda)</t>
  </si>
  <si>
    <t>Öntözőrendszer, udvar rendezés óvoda (megvalósult, dologi kiadások között)</t>
  </si>
  <si>
    <t>Faház vásárlás</t>
  </si>
  <si>
    <t>Ingatlan vásárlás (Kerékpárút kisajátításhoz)</t>
  </si>
  <si>
    <t>Községháza összekötő járda vöröskő (megvalósult, dologi kiadások között)</t>
  </si>
  <si>
    <t>Elektromos autó Strandra</t>
  </si>
  <si>
    <t>Varázserdő</t>
  </si>
  <si>
    <t>Kerékpárút</t>
  </si>
  <si>
    <t>Műk.c.tám. EGYÉB VÁLLALKOZÁSOK, Fogorvos tám., DRV lakossági ivóvíz és szennyvíz pályázat, BAHART pe átadás</t>
  </si>
  <si>
    <t>Felh.c.tám. EGYÉB CIVIL SZERV. (alapítvány, egyesület, helyi szervezet) Közalapítványnak átadott pe.</t>
  </si>
  <si>
    <t>Első lakáshoz jutók támogatása, születési támogatás, besikolázási támogatás Önk.rend.alapján</t>
  </si>
  <si>
    <t>5 óvónő</t>
  </si>
  <si>
    <t>3 ped.assz. (ebből 2 fő 07.31-ig)</t>
  </si>
  <si>
    <t>szept-től 1 fő rend.szerv.</t>
  </si>
  <si>
    <t>Áthúzódó bérkompenzáció, polgármesteri illemény támogatása</t>
  </si>
  <si>
    <t>Bölcsődei dolgozók bértámogatása, bölcsődei üzemeltetési támogatás</t>
  </si>
  <si>
    <t>befektetési célú részesedések vásárlása</t>
  </si>
  <si>
    <t>11. melléklet a 2/2019. (II.22.) Önkormányzati rendelethez</t>
  </si>
  <si>
    <t>1. melléklet a 2/2019. (II.22.) Önkormányzati rendelethez</t>
  </si>
  <si>
    <t>2. melléklet a 2/2019. (II.22.) Önkormányzati rendelethez</t>
  </si>
  <si>
    <t>3. melléklet a 2/2019. (II.22.) Önkormányzati rendelethez</t>
  </si>
  <si>
    <t>4. melléklet a 2/2019. (II.22.) Önkormányzati rendelethez</t>
  </si>
  <si>
    <t>5. melléklet a 2/2019. (II.22.) Önkormányzati rendelethez</t>
  </si>
  <si>
    <t>6. melléklet a 2/2019. (II.22.) Önkormányzati rendelethez</t>
  </si>
  <si>
    <t>7. melléklet a 2/2019. (II.22.) Önkormányzati rendelethez</t>
  </si>
  <si>
    <t>8. melléklet a  2/2019. (II.22.) Önkormányzati rendelethez</t>
  </si>
  <si>
    <t>9. melléklet a 2/2019. (II.22.) Önkormányzati rendelethez</t>
  </si>
  <si>
    <t>10. melléklet a 2/2019. (II.22.) Önkormányzati rendelethez</t>
  </si>
  <si>
    <t>12. melléklet a 2/2019. (II.22.) Önkormányzati rendelethez</t>
  </si>
  <si>
    <t>"1. melléklet a 2/2018. (II.23.) Önkormányzati rendelethez</t>
  </si>
  <si>
    <t>"</t>
  </si>
  <si>
    <t>"2. melléklet a 2/2018. (II.23.) Önkormányzati rendelethez</t>
  </si>
  <si>
    <t>"3. melléklet a 2/2018. (II.23.) Önkormányzati rendelethez</t>
  </si>
  <si>
    <t>"4. melléklet a 2/2018. (II.23.) Önkormányzati rendelethez</t>
  </si>
  <si>
    <t>"5. melléklet a 2/2018. (II.23.) Önkormányzati rendelethez</t>
  </si>
  <si>
    <t>"6. melléklet a 2/2018. (II.23.) Önkormányzati rendelethez</t>
  </si>
  <si>
    <t>"7. melléklet a 2/2018. (II.23.) Önkormányzati rendelethez</t>
  </si>
  <si>
    <t>"8. melléklet a 2/2018. (II.23.) Önkormányzati rendelethez</t>
  </si>
  <si>
    <t>"9. melléklet a 2/2018. (II.23.) Önkormányzati rendelethez</t>
  </si>
  <si>
    <t>"10. melléklet a 2/2018. (II.23.) Önkormányzati rendelethez</t>
  </si>
  <si>
    <t>"12. melléklet a 2/2018. (II.23.) Önkormányzati rendelethez</t>
  </si>
  <si>
    <t>"11. melléklet a 2/2018. (II.23.) Önkormányzati rendelethez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</si>
</sst>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  <numFmt numFmtId="166" formatCode="_-* #,##0\ _F_t_-;\-* #,##0\ _F_t_-;_-* \-??\ _F_t_-;_-@_-"/>
  </numFmts>
  <fonts count="46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22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i/>
      <sz val="22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theme="3" tint="-0.249977111117893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36">
    <xf numFmtId="0" fontId="0" fillId="0" borderId="0" xfId="0"/>
    <xf numFmtId="0" fontId="2" fillId="0" borderId="0" xfId="0" applyFont="1"/>
    <xf numFmtId="164" fontId="3" fillId="0" borderId="0" xfId="4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64" fontId="10" fillId="0" borderId="1" xfId="4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wrapText="1"/>
    </xf>
    <xf numFmtId="164" fontId="11" fillId="0" borderId="1" xfId="4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justify" wrapText="1"/>
    </xf>
    <xf numFmtId="0" fontId="9" fillId="7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7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0" fontId="14" fillId="0" borderId="0" xfId="0" applyFont="1" applyFill="1" applyAlignment="1"/>
    <xf numFmtId="0" fontId="15" fillId="0" borderId="0" xfId="0" applyFont="1" applyFill="1" applyAlignment="1">
      <alignment wrapText="1"/>
    </xf>
    <xf numFmtId="164" fontId="11" fillId="2" borderId="1" xfId="4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9" fillId="2" borderId="1" xfId="0" applyFont="1" applyFill="1" applyBorder="1" applyAlignment="1">
      <alignment wrapText="1"/>
    </xf>
    <xf numFmtId="165" fontId="2" fillId="0" borderId="0" xfId="1" applyNumberFormat="1" applyFont="1" applyFill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7" borderId="1" xfId="1" applyNumberFormat="1" applyFont="1" applyFill="1" applyBorder="1" applyAlignment="1">
      <alignment horizontal="center" vertical="center" wrapText="1"/>
    </xf>
    <xf numFmtId="165" fontId="9" fillId="7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165" fontId="9" fillId="8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 wrapText="1"/>
    </xf>
    <xf numFmtId="165" fontId="9" fillId="9" borderId="1" xfId="1" applyNumberFormat="1" applyFont="1" applyFill="1" applyBorder="1" applyAlignment="1">
      <alignment horizontal="center" vertical="center"/>
    </xf>
    <xf numFmtId="165" fontId="9" fillId="1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left" vertical="center" wrapText="1"/>
    </xf>
    <xf numFmtId="3" fontId="19" fillId="0" borderId="1" xfId="4" applyNumberFormat="1" applyFont="1" applyFill="1" applyBorder="1" applyAlignment="1">
      <alignment horizontal="right" vertical="center" wrapText="1"/>
    </xf>
    <xf numFmtId="164" fontId="20" fillId="0" borderId="1" xfId="4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right" vertical="center"/>
    </xf>
    <xf numFmtId="3" fontId="3" fillId="0" borderId="1" xfId="4" applyNumberFormat="1" applyFont="1" applyFill="1" applyBorder="1" applyAlignment="1">
      <alignment horizontal="right" vertical="center" wrapText="1"/>
    </xf>
    <xf numFmtId="164" fontId="3" fillId="0" borderId="0" xfId="4" applyNumberFormat="1" applyFont="1" applyFill="1" applyBorder="1" applyAlignment="1">
      <alignment horizontal="left" vertical="center"/>
    </xf>
    <xf numFmtId="3" fontId="21" fillId="0" borderId="1" xfId="4" applyNumberFormat="1" applyFont="1" applyFill="1" applyBorder="1" applyAlignment="1">
      <alignment horizontal="right" vertical="center" wrapText="1"/>
    </xf>
    <xf numFmtId="164" fontId="21" fillId="0" borderId="0" xfId="4" applyNumberFormat="1" applyFont="1" applyFill="1" applyBorder="1" applyAlignment="1">
      <alignment horizontal="left" vertical="center" wrapText="1"/>
    </xf>
    <xf numFmtId="164" fontId="22" fillId="0" borderId="0" xfId="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1" xfId="3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164" fontId="23" fillId="0" borderId="0" xfId="4" applyNumberFormat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0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0" xfId="0" applyFont="1" applyAlignment="1"/>
    <xf numFmtId="165" fontId="2" fillId="0" borderId="0" xfId="1" applyNumberFormat="1" applyFont="1"/>
    <xf numFmtId="165" fontId="8" fillId="0" borderId="1" xfId="1" applyNumberFormat="1" applyFont="1" applyBorder="1" applyAlignment="1">
      <alignment horizontal="center" vertical="center" wrapText="1"/>
    </xf>
    <xf numFmtId="3" fontId="21" fillId="0" borderId="0" xfId="4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7" fillId="0" borderId="1" xfId="0" applyNumberFormat="1" applyFont="1" applyBorder="1"/>
    <xf numFmtId="165" fontId="7" fillId="0" borderId="1" xfId="1" applyNumberFormat="1" applyFont="1" applyBorder="1"/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26" fillId="0" borderId="1" xfId="0" applyFont="1" applyBorder="1"/>
    <xf numFmtId="0" fontId="26" fillId="0" borderId="0" xfId="0" applyFont="1" applyBorder="1"/>
    <xf numFmtId="3" fontId="13" fillId="0" borderId="0" xfId="0" applyNumberFormat="1" applyFont="1" applyBorder="1" applyAlignment="1">
      <alignment vertical="center"/>
    </xf>
    <xf numFmtId="0" fontId="28" fillId="0" borderId="0" xfId="0" applyFont="1"/>
    <xf numFmtId="0" fontId="28" fillId="0" borderId="0" xfId="0" applyFont="1" applyAlignment="1">
      <alignment vertical="center"/>
    </xf>
    <xf numFmtId="1" fontId="28" fillId="0" borderId="0" xfId="0" applyNumberFormat="1" applyFont="1" applyAlignment="1">
      <alignment vertical="center"/>
    </xf>
    <xf numFmtId="1" fontId="29" fillId="0" borderId="0" xfId="0" applyNumberFormat="1" applyFont="1" applyAlignment="1">
      <alignment vertical="center"/>
    </xf>
    <xf numFmtId="0" fontId="13" fillId="0" borderId="0" xfId="0" applyFont="1" applyFill="1" applyBorder="1"/>
    <xf numFmtId="0" fontId="13" fillId="0" borderId="0" xfId="0" applyFont="1"/>
    <xf numFmtId="3" fontId="13" fillId="0" borderId="0" xfId="0" applyNumberFormat="1" applyFont="1" applyAlignment="1">
      <alignment vertical="center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center"/>
    </xf>
    <xf numFmtId="1" fontId="28" fillId="0" borderId="1" xfId="0" applyNumberFormat="1" applyFont="1" applyFill="1" applyBorder="1" applyAlignment="1">
      <alignment vertical="center"/>
    </xf>
    <xf numFmtId="1" fontId="28" fillId="0" borderId="1" xfId="0" applyNumberFormat="1" applyFont="1" applyBorder="1" applyAlignment="1">
      <alignment vertic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vertical="center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5" fillId="0" borderId="1" xfId="0" applyFont="1" applyBorder="1" applyAlignment="1">
      <alignment wrapText="1"/>
    </xf>
    <xf numFmtId="0" fontId="12" fillId="0" borderId="0" xfId="0" applyFont="1"/>
    <xf numFmtId="165" fontId="28" fillId="0" borderId="1" xfId="1" applyNumberFormat="1" applyFont="1" applyBorder="1" applyAlignment="1">
      <alignment horizontal="right" vertical="center"/>
    </xf>
    <xf numFmtId="165" fontId="13" fillId="0" borderId="1" xfId="1" applyNumberFormat="1" applyFont="1" applyBorder="1" applyAlignment="1">
      <alignment horizontal="right" vertical="center"/>
    </xf>
    <xf numFmtId="164" fontId="21" fillId="0" borderId="0" xfId="4" applyNumberFormat="1" applyFont="1" applyFill="1" applyBorder="1" applyAlignment="1">
      <alignment vertical="center" wrapText="1"/>
    </xf>
    <xf numFmtId="164" fontId="20" fillId="0" borderId="0" xfId="4" applyNumberFormat="1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right" vertical="center"/>
    </xf>
    <xf numFmtId="0" fontId="8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31" fillId="0" borderId="0" xfId="0" applyFont="1" applyAlignment="1"/>
    <xf numFmtId="0" fontId="16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vertical="center"/>
    </xf>
    <xf numFmtId="0" fontId="32" fillId="0" borderId="0" xfId="0" applyFont="1"/>
    <xf numFmtId="0" fontId="17" fillId="0" borderId="1" xfId="0" applyFont="1" applyFill="1" applyBorder="1" applyAlignment="1">
      <alignment wrapText="1"/>
    </xf>
    <xf numFmtId="2" fontId="33" fillId="0" borderId="1" xfId="4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17" fillId="0" borderId="0" xfId="0" applyFont="1" applyFill="1" applyBorder="1" applyAlignment="1">
      <alignment wrapText="1"/>
    </xf>
    <xf numFmtId="2" fontId="33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4" fillId="3" borderId="4" xfId="0" applyFont="1" applyFill="1" applyBorder="1" applyAlignment="1">
      <alignment wrapText="1"/>
    </xf>
    <xf numFmtId="0" fontId="35" fillId="0" borderId="5" xfId="0" applyFont="1" applyBorder="1" applyAlignment="1">
      <alignment horizontal="center" vertical="center" wrapText="1"/>
    </xf>
    <xf numFmtId="164" fontId="10" fillId="0" borderId="1" xfId="4" applyNumberFormat="1" applyFont="1" applyFill="1" applyBorder="1" applyAlignment="1">
      <alignment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3" fontId="19" fillId="0" borderId="0" xfId="4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19" fillId="0" borderId="7" xfId="4" applyNumberFormat="1" applyFont="1" applyFill="1" applyBorder="1" applyAlignment="1">
      <alignment horizontal="center" vertical="center" wrapText="1"/>
    </xf>
    <xf numFmtId="0" fontId="36" fillId="0" borderId="8" xfId="0" applyFont="1" applyFill="1" applyBorder="1"/>
    <xf numFmtId="3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43" fillId="0" borderId="1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wrapText="1"/>
    </xf>
    <xf numFmtId="0" fontId="2" fillId="0" borderId="0" xfId="0" applyFont="1" applyBorder="1"/>
    <xf numFmtId="0" fontId="27" fillId="0" borderId="0" xfId="0" applyFont="1"/>
    <xf numFmtId="0" fontId="6" fillId="0" borderId="0" xfId="2" applyFont="1" applyAlignment="1" applyProtection="1"/>
    <xf numFmtId="165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165" fontId="16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17" fillId="2" borderId="1" xfId="1" applyNumberFormat="1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justify" vertical="center" wrapText="1"/>
    </xf>
    <xf numFmtId="165" fontId="10" fillId="0" borderId="1" xfId="1" applyNumberFormat="1" applyFont="1" applyFill="1" applyBorder="1" applyAlignment="1">
      <alignment horizontal="left" vertical="center" wrapText="1"/>
    </xf>
    <xf numFmtId="165" fontId="9" fillId="4" borderId="1" xfId="1" applyNumberFormat="1" applyFont="1" applyFill="1" applyBorder="1" applyAlignment="1">
      <alignment horizontal="justify" vertical="center" wrapText="1"/>
    </xf>
    <xf numFmtId="165" fontId="8" fillId="4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horizontal="justify" vertical="center" wrapText="1"/>
    </xf>
    <xf numFmtId="165" fontId="9" fillId="0" borderId="1" xfId="1" applyNumberFormat="1" applyFont="1" applyFill="1" applyBorder="1" applyAlignment="1">
      <alignment horizontal="justify" vertical="center" wrapText="1"/>
    </xf>
    <xf numFmtId="165" fontId="17" fillId="2" borderId="1" xfId="1" applyNumberFormat="1" applyFont="1" applyFill="1" applyBorder="1" applyAlignment="1">
      <alignment vertical="center" wrapText="1"/>
    </xf>
    <xf numFmtId="165" fontId="17" fillId="2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17" fillId="5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left" vertical="center" wrapText="1"/>
    </xf>
    <xf numFmtId="165" fontId="17" fillId="6" borderId="1" xfId="1" applyNumberFormat="1" applyFont="1" applyFill="1" applyBorder="1" applyAlignment="1">
      <alignment vertical="center" wrapText="1"/>
    </xf>
    <xf numFmtId="165" fontId="38" fillId="6" borderId="1" xfId="1" applyNumberFormat="1" applyFont="1" applyFill="1" applyBorder="1" applyAlignment="1">
      <alignment horizontal="left" vertical="center" wrapText="1"/>
    </xf>
    <xf numFmtId="0" fontId="25" fillId="0" borderId="0" xfId="0" applyFont="1"/>
    <xf numFmtId="0" fontId="25" fillId="0" borderId="1" xfId="0" applyFont="1" applyBorder="1"/>
    <xf numFmtId="0" fontId="30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5" fontId="30" fillId="0" borderId="1" xfId="1" applyNumberFormat="1" applyFont="1" applyBorder="1" applyAlignment="1">
      <alignment vertical="center" shrinkToFit="1"/>
    </xf>
    <xf numFmtId="165" fontId="2" fillId="0" borderId="1" xfId="1" applyNumberFormat="1" applyFont="1" applyBorder="1" applyAlignment="1">
      <alignment vertical="center" shrinkToFit="1"/>
    </xf>
    <xf numFmtId="0" fontId="7" fillId="0" borderId="1" xfId="0" applyFont="1" applyBorder="1" applyAlignment="1">
      <alignment wrapText="1"/>
    </xf>
    <xf numFmtId="165" fontId="7" fillId="0" borderId="1" xfId="1" applyNumberFormat="1" applyFont="1" applyBorder="1" applyAlignment="1">
      <alignment vertical="center" shrinkToFit="1"/>
    </xf>
    <xf numFmtId="0" fontId="7" fillId="0" borderId="0" xfId="0" applyFont="1" applyAlignment="1">
      <alignment vertical="center"/>
    </xf>
    <xf numFmtId="3" fontId="13" fillId="0" borderId="1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5" fillId="0" borderId="0" xfId="0" applyFont="1" applyBorder="1"/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2" xfId="0" applyFont="1" applyBorder="1"/>
    <xf numFmtId="166" fontId="45" fillId="0" borderId="3" xfId="1" applyNumberFormat="1" applyFont="1" applyFill="1" applyBorder="1" applyAlignment="1" applyProtection="1"/>
    <xf numFmtId="0" fontId="44" fillId="0" borderId="2" xfId="0" applyFont="1" applyBorder="1" applyAlignment="1">
      <alignment wrapText="1"/>
    </xf>
    <xf numFmtId="165" fontId="28" fillId="0" borderId="1" xfId="1" applyNumberFormat="1" applyFont="1" applyBorder="1" applyAlignment="1">
      <alignment vertical="center" wrapText="1"/>
    </xf>
    <xf numFmtId="165" fontId="13" fillId="0" borderId="1" xfId="1" applyNumberFormat="1" applyFont="1" applyBorder="1" applyAlignment="1">
      <alignment vertical="center"/>
    </xf>
    <xf numFmtId="0" fontId="24" fillId="0" borderId="1" xfId="0" applyFont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165" fontId="25" fillId="0" borderId="12" xfId="1" applyNumberFormat="1" applyFont="1" applyFill="1" applyBorder="1" applyAlignment="1">
      <alignment horizontal="center" vertical="center"/>
    </xf>
    <xf numFmtId="165" fontId="18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6" fontId="45" fillId="0" borderId="17" xfId="1" applyNumberFormat="1" applyFont="1" applyFill="1" applyBorder="1" applyAlignment="1" applyProtection="1"/>
    <xf numFmtId="0" fontId="44" fillId="9" borderId="0" xfId="0" applyFont="1" applyFill="1" applyBorder="1" applyAlignment="1">
      <alignment wrapText="1"/>
    </xf>
    <xf numFmtId="166" fontId="45" fillId="9" borderId="1" xfId="1" applyNumberFormat="1" applyFont="1" applyFill="1" applyBorder="1" applyAlignment="1" applyProtection="1"/>
    <xf numFmtId="0" fontId="2" fillId="0" borderId="0" xfId="0" applyFont="1" applyAlignment="1">
      <alignment horizontal="center" vertical="center"/>
    </xf>
    <xf numFmtId="0" fontId="0" fillId="0" borderId="2" xfId="0" applyBorder="1" applyAlignment="1" applyProtection="1">
      <alignment wrapText="1"/>
      <protection locked="0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wrapText="1"/>
    </xf>
    <xf numFmtId="166" fontId="45" fillId="0" borderId="1" xfId="1" applyNumberFormat="1" applyFont="1" applyFill="1" applyBorder="1" applyAlignment="1" applyProtection="1"/>
    <xf numFmtId="0" fontId="44" fillId="0" borderId="0" xfId="0" applyFont="1" applyBorder="1" applyAlignment="1">
      <alignment wrapText="1"/>
    </xf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65" fontId="2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center" vertical="center"/>
    </xf>
  </cellXfs>
  <cellStyles count="5">
    <cellStyle name="Ezres" xfId="1" builtinId="3"/>
    <cellStyle name="Hivatkozás" xfId="2" builtinId="8"/>
    <cellStyle name="Normál" xfId="0" builtinId="0"/>
    <cellStyle name="Normál_70ûrlap" xfId="3"/>
    <cellStyle name="Normál_97ûrlap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0"/>
  <sheetViews>
    <sheetView tabSelected="1" view="pageBreakPreview" zoomScale="70" zoomScaleNormal="60" zoomScaleSheetLayoutView="70" workbookViewId="0">
      <pane ySplit="6" topLeftCell="A7" activePane="bottomLeft" state="frozen"/>
      <selection pane="bottomLeft" activeCell="C7" sqref="C7"/>
    </sheetView>
  </sheetViews>
  <sheetFormatPr defaultColWidth="9.125" defaultRowHeight="12.7"/>
  <cols>
    <col min="1" max="1" width="4.625" style="83" customWidth="1"/>
    <col min="2" max="2" width="55" style="22" customWidth="1"/>
    <col min="3" max="4" width="19.5" style="28" customWidth="1"/>
    <col min="5" max="6" width="19.375" style="28" customWidth="1"/>
    <col min="7" max="10" width="18.5" style="28" customWidth="1"/>
    <col min="11" max="11" width="21.5" style="28" customWidth="1"/>
    <col min="12" max="12" width="22.375" style="28" customWidth="1"/>
    <col min="13" max="13" width="19.625" style="28" customWidth="1"/>
    <col min="14" max="14" width="18.5" style="28" customWidth="1"/>
    <col min="15" max="15" width="20.5" style="28" customWidth="1"/>
    <col min="16" max="16" width="15.625" style="28" customWidth="1"/>
    <col min="17" max="24" width="9.125" style="3" customWidth="1"/>
    <col min="25" max="16384" width="9.125" style="1"/>
  </cols>
  <sheetData>
    <row r="1" spans="1:16" ht="27.55">
      <c r="B1" s="23" t="s">
        <v>233</v>
      </c>
      <c r="C1" s="226" t="s">
        <v>299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ht="27.55">
      <c r="B2" s="23"/>
      <c r="N2" s="223" t="s">
        <v>310</v>
      </c>
    </row>
    <row r="3" spans="1:16" ht="20.5">
      <c r="B3" s="24" t="s">
        <v>215</v>
      </c>
    </row>
    <row r="4" spans="1:16" ht="20.5">
      <c r="B4" s="24"/>
      <c r="O4" s="200" t="s">
        <v>84</v>
      </c>
    </row>
    <row r="5" spans="1:16" ht="74.150000000000006">
      <c r="B5" s="5" t="s">
        <v>0</v>
      </c>
      <c r="C5" s="29" t="s">
        <v>1</v>
      </c>
      <c r="D5" s="29" t="s">
        <v>63</v>
      </c>
      <c r="E5" s="29" t="s">
        <v>62</v>
      </c>
      <c r="F5" s="29" t="s">
        <v>64</v>
      </c>
      <c r="G5" s="29" t="s">
        <v>2</v>
      </c>
      <c r="H5" s="29" t="s">
        <v>65</v>
      </c>
      <c r="I5" s="29" t="s">
        <v>69</v>
      </c>
      <c r="J5" s="29" t="s">
        <v>66</v>
      </c>
      <c r="K5" s="30" t="s">
        <v>3</v>
      </c>
      <c r="L5" s="30" t="s">
        <v>4</v>
      </c>
      <c r="M5" s="30" t="s">
        <v>67</v>
      </c>
      <c r="N5" s="30" t="s">
        <v>68</v>
      </c>
      <c r="O5" s="30" t="s">
        <v>70</v>
      </c>
      <c r="P5" s="30" t="s">
        <v>71</v>
      </c>
    </row>
    <row r="6" spans="1:16" ht="14.85">
      <c r="B6" s="5" t="s">
        <v>5</v>
      </c>
      <c r="C6" s="29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30" t="s">
        <v>14</v>
      </c>
      <c r="L6" s="30" t="s">
        <v>15</v>
      </c>
      <c r="M6" s="30" t="s">
        <v>16</v>
      </c>
      <c r="N6" s="30" t="s">
        <v>17</v>
      </c>
      <c r="O6" s="30" t="s">
        <v>73</v>
      </c>
      <c r="P6" s="30" t="s">
        <v>74</v>
      </c>
    </row>
    <row r="7" spans="1:16" ht="84" customHeight="1">
      <c r="A7" s="83">
        <v>1</v>
      </c>
      <c r="B7" s="6" t="s">
        <v>217</v>
      </c>
      <c r="C7" s="31">
        <v>66132940</v>
      </c>
      <c r="D7" s="31">
        <f>63983845+368100</f>
        <v>64351945</v>
      </c>
      <c r="E7" s="31">
        <v>0</v>
      </c>
      <c r="F7" s="31">
        <f>1182307+1+723001</f>
        <v>1905309</v>
      </c>
      <c r="G7" s="31">
        <v>163361822</v>
      </c>
      <c r="H7" s="31">
        <v>178935951</v>
      </c>
      <c r="I7" s="31">
        <v>28281960</v>
      </c>
      <c r="J7" s="31">
        <f>16310112+9706474+7024479+3</f>
        <v>33041068</v>
      </c>
      <c r="K7" s="31">
        <f>C7+E7+G7+I7</f>
        <v>257776722</v>
      </c>
      <c r="L7" s="31">
        <f>D7+F7+H7+J7</f>
        <v>278234273</v>
      </c>
      <c r="M7" s="31">
        <f>C7+E7+G7+I7</f>
        <v>257776722</v>
      </c>
      <c r="N7" s="31">
        <v>0</v>
      </c>
      <c r="O7" s="31">
        <f>D7+F7+H7+J7</f>
        <v>278234273</v>
      </c>
      <c r="P7" s="31">
        <v>0</v>
      </c>
    </row>
    <row r="8" spans="1:16" ht="43.1">
      <c r="A8" s="83">
        <v>2</v>
      </c>
      <c r="B8" s="6" t="s">
        <v>218</v>
      </c>
      <c r="C8" s="31">
        <f t="shared" ref="C8:J8" si="0">SUM(C9:C12)</f>
        <v>240000000</v>
      </c>
      <c r="D8" s="31">
        <f t="shared" ref="D8" si="1">SUM(D9:D12)</f>
        <v>249846113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ref="K8:K32" si="2">C8+E8+G8+I8</f>
        <v>240000000</v>
      </c>
      <c r="L8" s="31">
        <f t="shared" ref="L8:L32" si="3">D8+F8+H8+J8</f>
        <v>249846113</v>
      </c>
      <c r="M8" s="31">
        <f t="shared" ref="M8:M32" si="4">C8+E8+G8+I8</f>
        <v>240000000</v>
      </c>
      <c r="N8" s="31">
        <v>0</v>
      </c>
      <c r="O8" s="31">
        <f t="shared" ref="O8:O32" si="5">D8+F8+H8+J8</f>
        <v>249846113</v>
      </c>
      <c r="P8" s="31">
        <v>0</v>
      </c>
    </row>
    <row r="9" spans="1:16" ht="14.85">
      <c r="A9" s="83">
        <v>3</v>
      </c>
      <c r="B9" s="7" t="s">
        <v>18</v>
      </c>
      <c r="C9" s="32">
        <f>240000000-C11-C12</f>
        <v>231700000</v>
      </c>
      <c r="D9" s="32">
        <f>246127984-7838550</f>
        <v>238289434</v>
      </c>
      <c r="E9" s="32"/>
      <c r="F9" s="32"/>
      <c r="G9" s="32"/>
      <c r="H9" s="32"/>
      <c r="I9" s="32"/>
      <c r="J9" s="32"/>
      <c r="K9" s="31">
        <f t="shared" si="2"/>
        <v>231700000</v>
      </c>
      <c r="L9" s="31">
        <f t="shared" si="3"/>
        <v>238289434</v>
      </c>
      <c r="M9" s="31">
        <f t="shared" si="4"/>
        <v>231700000</v>
      </c>
      <c r="N9" s="31">
        <v>0</v>
      </c>
      <c r="O9" s="31">
        <f t="shared" si="5"/>
        <v>238289434</v>
      </c>
      <c r="P9" s="31">
        <v>0</v>
      </c>
    </row>
    <row r="10" spans="1:16" ht="14.85">
      <c r="A10" s="83">
        <v>4</v>
      </c>
      <c r="B10" s="7" t="s">
        <v>19</v>
      </c>
      <c r="C10" s="32"/>
      <c r="D10" s="32"/>
      <c r="E10" s="32"/>
      <c r="F10" s="32"/>
      <c r="G10" s="32"/>
      <c r="H10" s="32"/>
      <c r="I10" s="32"/>
      <c r="J10" s="32"/>
      <c r="K10" s="31">
        <f t="shared" si="2"/>
        <v>0</v>
      </c>
      <c r="L10" s="31">
        <f t="shared" si="3"/>
        <v>0</v>
      </c>
      <c r="M10" s="31">
        <f t="shared" si="4"/>
        <v>0</v>
      </c>
      <c r="N10" s="31">
        <v>0</v>
      </c>
      <c r="O10" s="31">
        <f t="shared" si="5"/>
        <v>0</v>
      </c>
      <c r="P10" s="31">
        <v>0</v>
      </c>
    </row>
    <row r="11" spans="1:16" ht="14.85">
      <c r="A11" s="83">
        <v>5</v>
      </c>
      <c r="B11" s="7" t="s">
        <v>20</v>
      </c>
      <c r="C11" s="32">
        <v>1000000</v>
      </c>
      <c r="D11" s="32">
        <v>3718129</v>
      </c>
      <c r="E11" s="32"/>
      <c r="F11" s="32"/>
      <c r="G11" s="32"/>
      <c r="H11" s="32"/>
      <c r="I11" s="32"/>
      <c r="J11" s="32"/>
      <c r="K11" s="31">
        <f t="shared" si="2"/>
        <v>1000000</v>
      </c>
      <c r="L11" s="31">
        <f t="shared" si="3"/>
        <v>3718129</v>
      </c>
      <c r="M11" s="31">
        <f t="shared" si="4"/>
        <v>1000000</v>
      </c>
      <c r="N11" s="31">
        <v>0</v>
      </c>
      <c r="O11" s="31">
        <f t="shared" si="5"/>
        <v>3718129</v>
      </c>
      <c r="P11" s="31">
        <v>0</v>
      </c>
    </row>
    <row r="12" spans="1:16" ht="14.85">
      <c r="A12" s="83">
        <v>6</v>
      </c>
      <c r="B12" s="7" t="s">
        <v>72</v>
      </c>
      <c r="C12" s="32">
        <v>7300000</v>
      </c>
      <c r="D12" s="32">
        <v>7838550</v>
      </c>
      <c r="E12" s="32"/>
      <c r="F12" s="32"/>
      <c r="G12" s="32"/>
      <c r="H12" s="32"/>
      <c r="I12" s="32"/>
      <c r="J12" s="32"/>
      <c r="K12" s="31">
        <f t="shared" si="2"/>
        <v>7300000</v>
      </c>
      <c r="L12" s="31">
        <f t="shared" si="3"/>
        <v>7838550</v>
      </c>
      <c r="M12" s="31">
        <f t="shared" si="4"/>
        <v>7300000</v>
      </c>
      <c r="N12" s="31">
        <v>0</v>
      </c>
      <c r="O12" s="31">
        <f t="shared" si="5"/>
        <v>7838550</v>
      </c>
      <c r="P12" s="31">
        <v>0</v>
      </c>
    </row>
    <row r="13" spans="1:16" ht="29.65">
      <c r="A13" s="83">
        <v>7</v>
      </c>
      <c r="B13" s="8" t="s">
        <v>21</v>
      </c>
      <c r="C13" s="33">
        <v>0</v>
      </c>
      <c r="D13" s="33">
        <v>0</v>
      </c>
      <c r="E13" s="34">
        <v>62299144</v>
      </c>
      <c r="F13" s="34">
        <v>69119351</v>
      </c>
      <c r="G13" s="34">
        <v>52843107</v>
      </c>
      <c r="H13" s="34">
        <v>60300434</v>
      </c>
      <c r="I13" s="34">
        <v>81278388</v>
      </c>
      <c r="J13" s="34">
        <v>90449078</v>
      </c>
      <c r="K13" s="35">
        <f t="shared" si="2"/>
        <v>196420639</v>
      </c>
      <c r="L13" s="35">
        <f t="shared" si="3"/>
        <v>219868863</v>
      </c>
      <c r="M13" s="35">
        <f t="shared" si="4"/>
        <v>196420639</v>
      </c>
      <c r="N13" s="35">
        <v>0</v>
      </c>
      <c r="O13" s="35">
        <f t="shared" si="5"/>
        <v>219868863</v>
      </c>
      <c r="P13" s="35">
        <v>0</v>
      </c>
    </row>
    <row r="14" spans="1:16" ht="14.85">
      <c r="A14" s="83">
        <v>8</v>
      </c>
      <c r="B14" s="6" t="s">
        <v>22</v>
      </c>
      <c r="C14" s="40">
        <v>184575232</v>
      </c>
      <c r="D14" s="40">
        <v>214927032</v>
      </c>
      <c r="E14" s="31"/>
      <c r="F14" s="31"/>
      <c r="G14" s="31"/>
      <c r="H14" s="31"/>
      <c r="I14" s="31"/>
      <c r="J14" s="31"/>
      <c r="K14" s="31">
        <f t="shared" si="2"/>
        <v>184575232</v>
      </c>
      <c r="L14" s="31">
        <f t="shared" si="3"/>
        <v>214927032</v>
      </c>
      <c r="M14" s="31">
        <f t="shared" si="4"/>
        <v>184575232</v>
      </c>
      <c r="N14" s="31">
        <v>0</v>
      </c>
      <c r="O14" s="31">
        <f t="shared" si="5"/>
        <v>214927032</v>
      </c>
      <c r="P14" s="31">
        <v>0</v>
      </c>
    </row>
    <row r="15" spans="1:16" ht="14.85">
      <c r="A15" s="83">
        <v>9</v>
      </c>
      <c r="B15" s="6" t="s">
        <v>23</v>
      </c>
      <c r="C15" s="31">
        <v>1800000</v>
      </c>
      <c r="D15" s="31">
        <f>14149883+24000</f>
        <v>14173883</v>
      </c>
      <c r="E15" s="31"/>
      <c r="F15" s="31"/>
      <c r="G15" s="31"/>
      <c r="H15" s="31"/>
      <c r="I15" s="31"/>
      <c r="J15" s="31"/>
      <c r="K15" s="31">
        <f t="shared" si="2"/>
        <v>1800000</v>
      </c>
      <c r="L15" s="31">
        <f t="shared" si="3"/>
        <v>14173883</v>
      </c>
      <c r="M15" s="31">
        <f t="shared" si="4"/>
        <v>1800000</v>
      </c>
      <c r="N15" s="31">
        <v>0</v>
      </c>
      <c r="O15" s="31">
        <f t="shared" si="5"/>
        <v>14173883</v>
      </c>
      <c r="P15" s="31">
        <v>0</v>
      </c>
    </row>
    <row r="16" spans="1:16" ht="24.7" customHeight="1">
      <c r="A16" s="83">
        <v>10</v>
      </c>
      <c r="B16" s="6" t="s">
        <v>24</v>
      </c>
      <c r="C16" s="31"/>
      <c r="D16" s="31"/>
      <c r="E16" s="31"/>
      <c r="F16" s="31"/>
      <c r="G16" s="31"/>
      <c r="H16" s="31"/>
      <c r="I16" s="31"/>
      <c r="J16" s="31"/>
      <c r="K16" s="31">
        <f t="shared" si="2"/>
        <v>0</v>
      </c>
      <c r="L16" s="31">
        <f t="shared" si="3"/>
        <v>0</v>
      </c>
      <c r="M16" s="31">
        <f t="shared" si="4"/>
        <v>0</v>
      </c>
      <c r="N16" s="31">
        <v>0</v>
      </c>
      <c r="O16" s="31">
        <f t="shared" si="5"/>
        <v>0</v>
      </c>
      <c r="P16" s="31">
        <v>0</v>
      </c>
    </row>
    <row r="17" spans="1:24" ht="29.65">
      <c r="A17" s="83">
        <v>11</v>
      </c>
      <c r="B17" s="6" t="s">
        <v>25</v>
      </c>
      <c r="C17" s="31"/>
      <c r="D17" s="31"/>
      <c r="E17" s="31"/>
      <c r="F17" s="31"/>
      <c r="G17" s="31"/>
      <c r="H17" s="31"/>
      <c r="I17" s="31"/>
      <c r="J17" s="31"/>
      <c r="K17" s="31">
        <f t="shared" si="2"/>
        <v>0</v>
      </c>
      <c r="L17" s="31">
        <f t="shared" si="3"/>
        <v>0</v>
      </c>
      <c r="M17" s="31">
        <f t="shared" si="4"/>
        <v>0</v>
      </c>
      <c r="N17" s="31">
        <v>0</v>
      </c>
      <c r="O17" s="31">
        <f t="shared" si="5"/>
        <v>0</v>
      </c>
      <c r="P17" s="31">
        <v>0</v>
      </c>
    </row>
    <row r="18" spans="1:24" ht="14.85">
      <c r="A18" s="83">
        <v>12</v>
      </c>
      <c r="B18" s="8" t="s">
        <v>26</v>
      </c>
      <c r="C18" s="35">
        <f>C7+C8+C14+C15+C16+C17</f>
        <v>492508172</v>
      </c>
      <c r="D18" s="35">
        <f>D7+D8+D14+D15+D16+D17</f>
        <v>543298973</v>
      </c>
      <c r="E18" s="35">
        <f t="shared" ref="E18:J18" si="6">E7+E8+E14+E15+E16+E17+E13</f>
        <v>62299144</v>
      </c>
      <c r="F18" s="35">
        <f t="shared" si="6"/>
        <v>71024660</v>
      </c>
      <c r="G18" s="35">
        <f>G7+G8+G14+G15+G16+G17+G13</f>
        <v>216204929</v>
      </c>
      <c r="H18" s="35">
        <f t="shared" si="6"/>
        <v>239236385</v>
      </c>
      <c r="I18" s="35">
        <f t="shared" si="6"/>
        <v>109560348</v>
      </c>
      <c r="J18" s="35">
        <f t="shared" si="6"/>
        <v>123490146</v>
      </c>
      <c r="K18" s="35">
        <f t="shared" si="2"/>
        <v>880572593</v>
      </c>
      <c r="L18" s="35">
        <f t="shared" si="3"/>
        <v>977050164</v>
      </c>
      <c r="M18" s="35">
        <f t="shared" si="4"/>
        <v>880572593</v>
      </c>
      <c r="N18" s="35">
        <v>0</v>
      </c>
      <c r="O18" s="35">
        <f t="shared" si="5"/>
        <v>977050164</v>
      </c>
      <c r="P18" s="35">
        <v>0</v>
      </c>
    </row>
    <row r="19" spans="1:24" ht="29.65">
      <c r="A19" s="83">
        <v>13</v>
      </c>
      <c r="B19" s="6" t="s">
        <v>27</v>
      </c>
      <c r="C19" s="33">
        <v>31700000</v>
      </c>
      <c r="D19" s="33">
        <v>450989828</v>
      </c>
      <c r="E19" s="33"/>
      <c r="F19" s="33"/>
      <c r="G19" s="33"/>
      <c r="H19" s="33"/>
      <c r="I19" s="33"/>
      <c r="J19" s="33"/>
      <c r="K19" s="31">
        <f t="shared" si="2"/>
        <v>31700000</v>
      </c>
      <c r="L19" s="31">
        <f t="shared" si="3"/>
        <v>450989828</v>
      </c>
      <c r="M19" s="31">
        <f t="shared" si="4"/>
        <v>31700000</v>
      </c>
      <c r="N19" s="31">
        <v>0</v>
      </c>
      <c r="O19" s="31">
        <f t="shared" si="5"/>
        <v>450989828</v>
      </c>
      <c r="P19" s="31">
        <v>0</v>
      </c>
    </row>
    <row r="20" spans="1:24" ht="34.6" customHeight="1">
      <c r="A20" s="83">
        <v>14</v>
      </c>
      <c r="B20" s="6" t="s">
        <v>28</v>
      </c>
      <c r="C20" s="33">
        <v>10000000</v>
      </c>
      <c r="D20" s="33">
        <v>4351576</v>
      </c>
      <c r="E20" s="33"/>
      <c r="F20" s="33"/>
      <c r="G20" s="33"/>
      <c r="H20" s="33"/>
      <c r="I20" s="33"/>
      <c r="J20" s="33"/>
      <c r="K20" s="31">
        <f t="shared" si="2"/>
        <v>10000000</v>
      </c>
      <c r="L20" s="31">
        <f t="shared" si="3"/>
        <v>4351576</v>
      </c>
      <c r="M20" s="31">
        <f t="shared" si="4"/>
        <v>10000000</v>
      </c>
      <c r="N20" s="31">
        <v>0</v>
      </c>
      <c r="O20" s="31">
        <f t="shared" si="5"/>
        <v>4351576</v>
      </c>
      <c r="P20" s="31">
        <v>0</v>
      </c>
    </row>
    <row r="21" spans="1:24" ht="44.5">
      <c r="A21" s="83">
        <v>15</v>
      </c>
      <c r="B21" s="6" t="s">
        <v>29</v>
      </c>
      <c r="C21" s="33">
        <v>15354331</v>
      </c>
      <c r="D21" s="33">
        <v>2060000</v>
      </c>
      <c r="E21" s="33"/>
      <c r="F21" s="33"/>
      <c r="G21" s="33"/>
      <c r="H21" s="33"/>
      <c r="I21" s="33"/>
      <c r="J21" s="33"/>
      <c r="K21" s="31">
        <f t="shared" si="2"/>
        <v>15354331</v>
      </c>
      <c r="L21" s="31">
        <f t="shared" si="3"/>
        <v>2060000</v>
      </c>
      <c r="M21" s="31">
        <f t="shared" si="4"/>
        <v>15354331</v>
      </c>
      <c r="N21" s="31">
        <v>0</v>
      </c>
      <c r="O21" s="31">
        <f t="shared" si="5"/>
        <v>2060000</v>
      </c>
      <c r="P21" s="31">
        <v>0</v>
      </c>
    </row>
    <row r="22" spans="1:24" ht="29.65">
      <c r="A22" s="83">
        <v>16</v>
      </c>
      <c r="B22" s="6" t="s">
        <v>30</v>
      </c>
      <c r="C22" s="31">
        <v>0</v>
      </c>
      <c r="D22" s="31">
        <v>0</v>
      </c>
      <c r="E22" s="31"/>
      <c r="F22" s="31"/>
      <c r="G22" s="31"/>
      <c r="H22" s="31"/>
      <c r="I22" s="31"/>
      <c r="J22" s="31"/>
      <c r="K22" s="31">
        <f t="shared" si="2"/>
        <v>0</v>
      </c>
      <c r="L22" s="31">
        <f t="shared" si="3"/>
        <v>0</v>
      </c>
      <c r="M22" s="31">
        <f t="shared" si="4"/>
        <v>0</v>
      </c>
      <c r="N22" s="31">
        <v>0</v>
      </c>
      <c r="O22" s="31">
        <f t="shared" si="5"/>
        <v>0</v>
      </c>
      <c r="P22" s="31">
        <v>0</v>
      </c>
    </row>
    <row r="23" spans="1:24" ht="29.65">
      <c r="A23" s="83">
        <v>17</v>
      </c>
      <c r="B23" s="6" t="s">
        <v>31</v>
      </c>
      <c r="C23" s="31">
        <v>0</v>
      </c>
      <c r="D23" s="31">
        <v>0</v>
      </c>
      <c r="E23" s="31"/>
      <c r="F23" s="31"/>
      <c r="G23" s="31"/>
      <c r="H23" s="31"/>
      <c r="I23" s="31"/>
      <c r="J23" s="31"/>
      <c r="K23" s="31">
        <f t="shared" si="2"/>
        <v>0</v>
      </c>
      <c r="L23" s="31">
        <f t="shared" si="3"/>
        <v>0</v>
      </c>
      <c r="M23" s="31">
        <f t="shared" si="4"/>
        <v>0</v>
      </c>
      <c r="N23" s="31">
        <v>0</v>
      </c>
      <c r="O23" s="31">
        <f t="shared" si="5"/>
        <v>0</v>
      </c>
      <c r="P23" s="31">
        <v>0</v>
      </c>
    </row>
    <row r="24" spans="1:24" ht="14.85">
      <c r="A24" s="83">
        <v>18</v>
      </c>
      <c r="B24" s="8" t="s">
        <v>32</v>
      </c>
      <c r="C24" s="35">
        <f>SUM(C19:C23)</f>
        <v>57054331</v>
      </c>
      <c r="D24" s="35">
        <f t="shared" ref="D24:I24" si="7">SUM(D19:D23)</f>
        <v>457401404</v>
      </c>
      <c r="E24" s="35">
        <f t="shared" si="7"/>
        <v>0</v>
      </c>
      <c r="F24" s="35">
        <f t="shared" si="7"/>
        <v>0</v>
      </c>
      <c r="G24" s="35">
        <f t="shared" si="7"/>
        <v>0</v>
      </c>
      <c r="H24" s="35">
        <f t="shared" si="7"/>
        <v>0</v>
      </c>
      <c r="I24" s="35">
        <f t="shared" si="7"/>
        <v>0</v>
      </c>
      <c r="J24" s="35">
        <f>SUM(J19:J23)</f>
        <v>0</v>
      </c>
      <c r="K24" s="35">
        <f t="shared" si="2"/>
        <v>57054331</v>
      </c>
      <c r="L24" s="35">
        <f t="shared" si="3"/>
        <v>457401404</v>
      </c>
      <c r="M24" s="35">
        <f t="shared" si="4"/>
        <v>57054331</v>
      </c>
      <c r="N24" s="35">
        <v>0</v>
      </c>
      <c r="O24" s="35">
        <f t="shared" si="5"/>
        <v>457401404</v>
      </c>
      <c r="P24" s="35">
        <v>0</v>
      </c>
    </row>
    <row r="25" spans="1:24" ht="14.85">
      <c r="A25" s="83">
        <v>19</v>
      </c>
      <c r="B25" s="6" t="s">
        <v>33</v>
      </c>
      <c r="C25" s="31">
        <f>C24+C18-E13-G13-I13</f>
        <v>353141864</v>
      </c>
      <c r="D25" s="31">
        <f>D24+D18-F13-H13-J13</f>
        <v>780831514</v>
      </c>
      <c r="E25" s="31">
        <f t="shared" ref="E25:J25" si="8">E24+E18</f>
        <v>62299144</v>
      </c>
      <c r="F25" s="31">
        <f t="shared" si="8"/>
        <v>71024660</v>
      </c>
      <c r="G25" s="31">
        <f t="shared" si="8"/>
        <v>216204929</v>
      </c>
      <c r="H25" s="31">
        <f t="shared" si="8"/>
        <v>239236385</v>
      </c>
      <c r="I25" s="31">
        <f t="shared" si="8"/>
        <v>109560348</v>
      </c>
      <c r="J25" s="31">
        <f t="shared" si="8"/>
        <v>123490146</v>
      </c>
      <c r="K25" s="31">
        <f t="shared" si="2"/>
        <v>741206285</v>
      </c>
      <c r="L25" s="31">
        <f t="shared" si="3"/>
        <v>1214582705</v>
      </c>
      <c r="M25" s="31">
        <f t="shared" si="4"/>
        <v>741206285</v>
      </c>
      <c r="N25" s="31">
        <v>0</v>
      </c>
      <c r="O25" s="31">
        <f t="shared" si="5"/>
        <v>1214582705</v>
      </c>
      <c r="P25" s="31">
        <v>0</v>
      </c>
    </row>
    <row r="26" spans="1:24" ht="44.5">
      <c r="A26" s="83">
        <v>20</v>
      </c>
      <c r="B26" s="9" t="s">
        <v>34</v>
      </c>
      <c r="C26" s="36">
        <v>364672988</v>
      </c>
      <c r="D26" s="36">
        <v>363579842</v>
      </c>
      <c r="E26" s="36">
        <v>1006039</v>
      </c>
      <c r="F26" s="36">
        <v>1682489</v>
      </c>
      <c r="G26" s="36">
        <v>7259987</v>
      </c>
      <c r="H26" s="36">
        <v>7259987</v>
      </c>
      <c r="I26" s="36">
        <v>1155942</v>
      </c>
      <c r="J26" s="36">
        <v>1155942</v>
      </c>
      <c r="K26" s="31">
        <f t="shared" si="2"/>
        <v>374094956</v>
      </c>
      <c r="L26" s="31">
        <f t="shared" si="3"/>
        <v>373678260</v>
      </c>
      <c r="M26" s="31">
        <f t="shared" si="4"/>
        <v>374094956</v>
      </c>
      <c r="N26" s="31">
        <v>0</v>
      </c>
      <c r="O26" s="31">
        <f t="shared" si="5"/>
        <v>373678260</v>
      </c>
      <c r="P26" s="31">
        <v>0</v>
      </c>
    </row>
    <row r="27" spans="1:24" ht="14.85">
      <c r="A27" s="83">
        <v>21</v>
      </c>
      <c r="B27" s="9" t="s">
        <v>35</v>
      </c>
      <c r="C27" s="36"/>
      <c r="D27" s="36">
        <v>8427392</v>
      </c>
      <c r="E27" s="31"/>
      <c r="F27" s="31"/>
      <c r="G27" s="36"/>
      <c r="H27" s="36"/>
      <c r="I27" s="36"/>
      <c r="J27" s="36"/>
      <c r="K27" s="31">
        <f t="shared" si="2"/>
        <v>0</v>
      </c>
      <c r="L27" s="31">
        <f t="shared" si="3"/>
        <v>8427392</v>
      </c>
      <c r="M27" s="31">
        <f t="shared" si="4"/>
        <v>0</v>
      </c>
      <c r="N27" s="31">
        <v>0</v>
      </c>
      <c r="O27" s="31">
        <f t="shared" si="5"/>
        <v>8427392</v>
      </c>
      <c r="P27" s="31">
        <v>0</v>
      </c>
    </row>
    <row r="28" spans="1:24" ht="14.85">
      <c r="A28" s="83">
        <v>22</v>
      </c>
      <c r="B28" s="25" t="s">
        <v>36</v>
      </c>
      <c r="C28" s="37">
        <f t="shared" ref="C28:I28" si="9">SUM(C25:C27)</f>
        <v>717814852</v>
      </c>
      <c r="D28" s="37">
        <f t="shared" si="9"/>
        <v>1152838748</v>
      </c>
      <c r="E28" s="37">
        <f t="shared" si="9"/>
        <v>63305183</v>
      </c>
      <c r="F28" s="37">
        <f t="shared" si="9"/>
        <v>72707149</v>
      </c>
      <c r="G28" s="37">
        <f t="shared" si="9"/>
        <v>223464916</v>
      </c>
      <c r="H28" s="37">
        <f t="shared" si="9"/>
        <v>246496372</v>
      </c>
      <c r="I28" s="37">
        <f t="shared" si="9"/>
        <v>110716290</v>
      </c>
      <c r="J28" s="37">
        <f>SUM(J25:J27)</f>
        <v>124646088</v>
      </c>
      <c r="K28" s="38">
        <f t="shared" si="2"/>
        <v>1115301241</v>
      </c>
      <c r="L28" s="38">
        <f>D28+F28+H28+J28</f>
        <v>1596688357</v>
      </c>
      <c r="M28" s="40">
        <f t="shared" si="4"/>
        <v>1115301241</v>
      </c>
      <c r="N28" s="40">
        <v>0</v>
      </c>
      <c r="O28" s="41">
        <f t="shared" si="5"/>
        <v>1596688357</v>
      </c>
      <c r="P28" s="41">
        <v>0</v>
      </c>
    </row>
    <row r="29" spans="1:24" ht="14.85">
      <c r="A29" s="83">
        <v>23</v>
      </c>
      <c r="B29" s="9"/>
      <c r="C29" s="36"/>
      <c r="D29" s="36"/>
      <c r="E29" s="36"/>
      <c r="F29" s="36"/>
      <c r="G29" s="36"/>
      <c r="H29" s="36"/>
      <c r="I29" s="36"/>
      <c r="J29" s="36"/>
      <c r="K29" s="31">
        <f t="shared" si="2"/>
        <v>0</v>
      </c>
      <c r="L29" s="31">
        <f t="shared" si="3"/>
        <v>0</v>
      </c>
      <c r="M29" s="31">
        <f t="shared" si="4"/>
        <v>0</v>
      </c>
      <c r="N29" s="31">
        <v>0</v>
      </c>
      <c r="O29" s="31">
        <f t="shared" si="5"/>
        <v>0</v>
      </c>
      <c r="P29" s="31">
        <v>0</v>
      </c>
    </row>
    <row r="30" spans="1:24" s="12" customFormat="1" ht="28.25">
      <c r="A30" s="83">
        <v>24</v>
      </c>
      <c r="B30" s="7" t="s">
        <v>37</v>
      </c>
      <c r="C30" s="32">
        <f t="shared" ref="C30:J30" si="10">C28-C62</f>
        <v>0</v>
      </c>
      <c r="D30" s="32">
        <f t="shared" si="10"/>
        <v>0</v>
      </c>
      <c r="E30" s="32">
        <f t="shared" si="10"/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0</v>
      </c>
      <c r="J30" s="32">
        <f t="shared" si="10"/>
        <v>0</v>
      </c>
      <c r="K30" s="31">
        <f t="shared" si="2"/>
        <v>0</v>
      </c>
      <c r="L30" s="31">
        <f t="shared" si="3"/>
        <v>0</v>
      </c>
      <c r="M30" s="31">
        <f t="shared" si="4"/>
        <v>0</v>
      </c>
      <c r="N30" s="31">
        <v>0</v>
      </c>
      <c r="O30" s="31">
        <f t="shared" si="5"/>
        <v>0</v>
      </c>
      <c r="P30" s="31">
        <v>0</v>
      </c>
      <c r="Q30" s="11"/>
      <c r="R30" s="11"/>
      <c r="S30" s="11"/>
      <c r="T30" s="11"/>
      <c r="U30" s="11"/>
      <c r="V30" s="11"/>
      <c r="W30" s="11"/>
      <c r="X30" s="11"/>
    </row>
    <row r="31" spans="1:24" s="12" customFormat="1" ht="28.25">
      <c r="A31" s="83">
        <v>25</v>
      </c>
      <c r="B31" s="7" t="s">
        <v>38</v>
      </c>
      <c r="C31" s="32">
        <f t="shared" ref="C31:J31" si="11">C28-C62</f>
        <v>0</v>
      </c>
      <c r="D31" s="32">
        <f t="shared" si="11"/>
        <v>0</v>
      </c>
      <c r="E31" s="32">
        <f t="shared" si="11"/>
        <v>0</v>
      </c>
      <c r="F31" s="32">
        <f t="shared" si="11"/>
        <v>0</v>
      </c>
      <c r="G31" s="32">
        <f t="shared" si="11"/>
        <v>0</v>
      </c>
      <c r="H31" s="32">
        <f t="shared" si="11"/>
        <v>0</v>
      </c>
      <c r="I31" s="32">
        <f t="shared" si="11"/>
        <v>0</v>
      </c>
      <c r="J31" s="32">
        <f t="shared" si="11"/>
        <v>0</v>
      </c>
      <c r="K31" s="31">
        <f t="shared" si="2"/>
        <v>0</v>
      </c>
      <c r="L31" s="31">
        <f t="shared" si="3"/>
        <v>0</v>
      </c>
      <c r="M31" s="31">
        <f t="shared" si="4"/>
        <v>0</v>
      </c>
      <c r="N31" s="31">
        <v>0</v>
      </c>
      <c r="O31" s="31">
        <f t="shared" si="5"/>
        <v>0</v>
      </c>
      <c r="P31" s="31">
        <v>0</v>
      </c>
      <c r="Q31" s="11"/>
      <c r="R31" s="11"/>
      <c r="S31" s="11"/>
      <c r="T31" s="11"/>
      <c r="U31" s="11"/>
      <c r="V31" s="11"/>
      <c r="W31" s="11"/>
      <c r="X31" s="11"/>
    </row>
    <row r="32" spans="1:24" s="12" customFormat="1" ht="70.599999999999994">
      <c r="A32" s="83">
        <v>26</v>
      </c>
      <c r="B32" s="7" t="s">
        <v>39</v>
      </c>
      <c r="C32" s="32">
        <f t="shared" ref="C32:J32" si="12">C30+C22</f>
        <v>0</v>
      </c>
      <c r="D32" s="32">
        <f t="shared" si="12"/>
        <v>0</v>
      </c>
      <c r="E32" s="32">
        <f t="shared" si="12"/>
        <v>0</v>
      </c>
      <c r="F32" s="32">
        <f t="shared" si="12"/>
        <v>0</v>
      </c>
      <c r="G32" s="32">
        <f t="shared" si="12"/>
        <v>0</v>
      </c>
      <c r="H32" s="32">
        <f t="shared" si="12"/>
        <v>0</v>
      </c>
      <c r="I32" s="32">
        <f t="shared" si="12"/>
        <v>0</v>
      </c>
      <c r="J32" s="32">
        <f t="shared" si="12"/>
        <v>0</v>
      </c>
      <c r="K32" s="31">
        <f t="shared" si="2"/>
        <v>0</v>
      </c>
      <c r="L32" s="31">
        <f t="shared" si="3"/>
        <v>0</v>
      </c>
      <c r="M32" s="31">
        <f t="shared" si="4"/>
        <v>0</v>
      </c>
      <c r="N32" s="31">
        <v>0</v>
      </c>
      <c r="O32" s="31">
        <f t="shared" si="5"/>
        <v>0</v>
      </c>
      <c r="P32" s="31">
        <v>0</v>
      </c>
      <c r="Q32" s="11"/>
      <c r="R32" s="11"/>
      <c r="S32" s="11"/>
      <c r="T32" s="11"/>
      <c r="U32" s="11"/>
      <c r="V32" s="11"/>
      <c r="W32" s="11"/>
      <c r="X32" s="11"/>
    </row>
    <row r="33" spans="1:24" s="12" customFormat="1" ht="20.5">
      <c r="A33" s="83"/>
      <c r="B33" s="24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11"/>
      <c r="R33" s="11"/>
      <c r="S33" s="11"/>
      <c r="T33" s="11"/>
      <c r="U33" s="11"/>
      <c r="V33" s="11"/>
      <c r="W33" s="11"/>
      <c r="X33" s="11"/>
    </row>
    <row r="34" spans="1:24" s="12" customFormat="1" ht="20.5">
      <c r="A34" s="83"/>
      <c r="B34" s="24" t="s">
        <v>216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1"/>
      <c r="R34" s="11"/>
      <c r="S34" s="11"/>
      <c r="T34" s="11"/>
      <c r="U34" s="11"/>
      <c r="V34" s="11"/>
      <c r="W34" s="11"/>
      <c r="X34" s="11"/>
    </row>
    <row r="35" spans="1:24" s="12" customFormat="1" ht="20.5">
      <c r="A35" s="83"/>
      <c r="B35" s="2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11"/>
      <c r="R35" s="11"/>
      <c r="S35" s="11"/>
      <c r="T35" s="11"/>
      <c r="U35" s="11"/>
      <c r="V35" s="11"/>
      <c r="W35" s="11"/>
      <c r="X35" s="11"/>
    </row>
    <row r="36" spans="1:24" s="12" customFormat="1" ht="74.150000000000006">
      <c r="A36" s="83"/>
      <c r="B36" s="5" t="s">
        <v>0</v>
      </c>
      <c r="C36" s="29" t="s">
        <v>1</v>
      </c>
      <c r="D36" s="29" t="s">
        <v>63</v>
      </c>
      <c r="E36" s="29" t="s">
        <v>62</v>
      </c>
      <c r="F36" s="29" t="s">
        <v>64</v>
      </c>
      <c r="G36" s="29" t="s">
        <v>2</v>
      </c>
      <c r="H36" s="29" t="s">
        <v>65</v>
      </c>
      <c r="I36" s="29" t="s">
        <v>69</v>
      </c>
      <c r="J36" s="29" t="s">
        <v>66</v>
      </c>
      <c r="K36" s="30" t="s">
        <v>3</v>
      </c>
      <c r="L36" s="30" t="s">
        <v>4</v>
      </c>
      <c r="M36" s="30" t="s">
        <v>67</v>
      </c>
      <c r="N36" s="30" t="s">
        <v>68</v>
      </c>
      <c r="O36" s="30" t="s">
        <v>70</v>
      </c>
      <c r="P36" s="30" t="s">
        <v>71</v>
      </c>
      <c r="Q36" s="11"/>
      <c r="R36" s="11"/>
      <c r="S36" s="11"/>
      <c r="T36" s="11"/>
      <c r="U36" s="11"/>
      <c r="V36" s="11"/>
      <c r="W36" s="11"/>
      <c r="X36" s="11"/>
    </row>
    <row r="37" spans="1:24" s="12" customFormat="1" ht="14.85">
      <c r="A37" s="83"/>
      <c r="B37" s="5" t="s">
        <v>5</v>
      </c>
      <c r="C37" s="29" t="s">
        <v>6</v>
      </c>
      <c r="D37" s="30" t="s">
        <v>7</v>
      </c>
      <c r="E37" s="29" t="s">
        <v>8</v>
      </c>
      <c r="F37" s="29" t="s">
        <v>9</v>
      </c>
      <c r="G37" s="29" t="s">
        <v>10</v>
      </c>
      <c r="H37" s="29" t="s">
        <v>11</v>
      </c>
      <c r="I37" s="29" t="s">
        <v>12</v>
      </c>
      <c r="J37" s="29" t="s">
        <v>13</v>
      </c>
      <c r="K37" s="30" t="s">
        <v>14</v>
      </c>
      <c r="L37" s="30" t="s">
        <v>15</v>
      </c>
      <c r="M37" s="30" t="s">
        <v>16</v>
      </c>
      <c r="N37" s="30" t="s">
        <v>17</v>
      </c>
      <c r="O37" s="30" t="s">
        <v>73</v>
      </c>
      <c r="P37" s="30" t="s">
        <v>74</v>
      </c>
      <c r="Q37" s="11"/>
      <c r="R37" s="11"/>
      <c r="S37" s="11"/>
      <c r="T37" s="11"/>
      <c r="U37" s="11"/>
      <c r="V37" s="11"/>
      <c r="W37" s="11"/>
      <c r="X37" s="11"/>
    </row>
    <row r="38" spans="1:24" s="12" customFormat="1" ht="14.85">
      <c r="A38" s="83">
        <v>1</v>
      </c>
      <c r="B38" s="13" t="s">
        <v>40</v>
      </c>
      <c r="C38" s="31">
        <v>30523213</v>
      </c>
      <c r="D38" s="31">
        <v>41633242</v>
      </c>
      <c r="E38" s="31">
        <v>51404022</v>
      </c>
      <c r="F38" s="31">
        <f>43117796+7309800+697000+244268+2732996+1212300+168000+120000+545351+503839</f>
        <v>56651350</v>
      </c>
      <c r="G38" s="31">
        <v>65082750</v>
      </c>
      <c r="H38" s="31">
        <v>65528937</v>
      </c>
      <c r="I38" s="31">
        <v>65613600</v>
      </c>
      <c r="J38" s="31">
        <f>54000832+1840000+2192400+3385212+255850+220000+983714+2723445+77444</f>
        <v>65678897</v>
      </c>
      <c r="K38" s="31">
        <f>C38+E38+G38+I38</f>
        <v>212623585</v>
      </c>
      <c r="L38" s="31">
        <f>D38+F38+H38+J38</f>
        <v>229492426</v>
      </c>
      <c r="M38" s="31">
        <f>C38+E38+G38+I38</f>
        <v>212623585</v>
      </c>
      <c r="N38" s="31">
        <v>0</v>
      </c>
      <c r="O38" s="31">
        <f>D38+F38+H38+J38</f>
        <v>229492426</v>
      </c>
      <c r="P38" s="31">
        <v>0</v>
      </c>
      <c r="Q38" s="11"/>
      <c r="R38" s="11"/>
      <c r="S38" s="11"/>
      <c r="T38" s="11"/>
      <c r="U38" s="11"/>
      <c r="V38" s="11"/>
      <c r="W38" s="11"/>
      <c r="X38" s="11"/>
    </row>
    <row r="39" spans="1:24" s="12" customFormat="1" ht="29.65">
      <c r="A39" s="83">
        <v>2</v>
      </c>
      <c r="B39" s="13" t="s">
        <v>41</v>
      </c>
      <c r="C39" s="31">
        <v>7782903</v>
      </c>
      <c r="D39" s="31">
        <v>7978787</v>
      </c>
      <c r="E39" s="31">
        <v>10712161</v>
      </c>
      <c r="F39" s="31">
        <f>10572990+463022+347911+257889</f>
        <v>11641812</v>
      </c>
      <c r="G39" s="31">
        <v>13846147</v>
      </c>
      <c r="H39" s="31">
        <v>13390499</v>
      </c>
      <c r="I39" s="31">
        <v>13800720</v>
      </c>
      <c r="J39" s="31">
        <f>29700+12242726+658849+90086+599596</f>
        <v>13620957</v>
      </c>
      <c r="K39" s="31">
        <f>C39+E39+G39+I39</f>
        <v>46141931</v>
      </c>
      <c r="L39" s="31">
        <f t="shared" ref="L39:L61" si="13">D39+F39+H39+J39</f>
        <v>46632055</v>
      </c>
      <c r="M39" s="31">
        <f>C39+E39+G39+I39</f>
        <v>46141931</v>
      </c>
      <c r="N39" s="31">
        <v>0</v>
      </c>
      <c r="O39" s="31">
        <f t="shared" ref="O39:O51" si="14">D39+F39+H39+J39</f>
        <v>46632055</v>
      </c>
      <c r="P39" s="31">
        <v>0</v>
      </c>
      <c r="Q39" s="11"/>
      <c r="R39" s="11"/>
      <c r="S39" s="11"/>
      <c r="T39" s="11"/>
      <c r="U39" s="11"/>
      <c r="V39" s="11"/>
      <c r="W39" s="11"/>
      <c r="X39" s="11"/>
    </row>
    <row r="40" spans="1:24" s="12" customFormat="1" ht="14.85">
      <c r="A40" s="83">
        <v>3</v>
      </c>
      <c r="B40" s="13" t="s">
        <v>42</v>
      </c>
      <c r="C40" s="31">
        <v>57244400</v>
      </c>
      <c r="D40" s="31">
        <f>139215606+33000</f>
        <v>139248606</v>
      </c>
      <c r="E40" s="31">
        <f>1189000</f>
        <v>1189000</v>
      </c>
      <c r="F40" s="31">
        <f>236508+31896+32486+404025+451103+58440+7661+198560+2993308</f>
        <v>4413987</v>
      </c>
      <c r="G40" s="31">
        <v>144536019</v>
      </c>
      <c r="H40" s="31">
        <f>167005946+570990</f>
        <v>167576936</v>
      </c>
      <c r="I40" s="31">
        <v>31301970</v>
      </c>
      <c r="J40" s="31">
        <f>2800+19670552+4490031+5112+55806+289197+1233462+1067630+652851+169000+15000+1823815+1235+5832900+3440000+6596843</f>
        <v>45346234</v>
      </c>
      <c r="K40" s="31">
        <f>C40+E40+G40+I40</f>
        <v>234271389</v>
      </c>
      <c r="L40" s="31">
        <f t="shared" si="13"/>
        <v>356585763</v>
      </c>
      <c r="M40" s="31">
        <f>C40+E40+G40+I40</f>
        <v>234271389</v>
      </c>
      <c r="N40" s="31"/>
      <c r="O40" s="31">
        <f t="shared" si="14"/>
        <v>356585763</v>
      </c>
      <c r="P40" s="31">
        <v>0</v>
      </c>
      <c r="Q40" s="11"/>
      <c r="R40" s="11"/>
      <c r="S40" s="11"/>
      <c r="T40" s="11"/>
      <c r="U40" s="11"/>
      <c r="V40" s="11"/>
      <c r="W40" s="11"/>
      <c r="X40" s="11"/>
    </row>
    <row r="41" spans="1:24" s="12" customFormat="1" ht="29.65">
      <c r="A41" s="83">
        <v>4</v>
      </c>
      <c r="B41" s="14" t="s">
        <v>43</v>
      </c>
      <c r="C41" s="35">
        <f>E13+G13+I13</f>
        <v>196420639</v>
      </c>
      <c r="D41" s="35">
        <f>F13+H13+J13</f>
        <v>219868863</v>
      </c>
      <c r="E41" s="31"/>
      <c r="F41" s="31"/>
      <c r="G41" s="31"/>
      <c r="H41" s="31"/>
      <c r="I41" s="31"/>
      <c r="J41" s="31"/>
      <c r="K41" s="31">
        <f t="shared" ref="K41:K61" si="15">C41+E41+G41+I41</f>
        <v>196420639</v>
      </c>
      <c r="L41" s="31">
        <f t="shared" si="13"/>
        <v>219868863</v>
      </c>
      <c r="M41" s="31">
        <f>C41+E41+G41+I41</f>
        <v>196420639</v>
      </c>
      <c r="N41" s="31">
        <v>0</v>
      </c>
      <c r="O41" s="31">
        <f t="shared" si="14"/>
        <v>219868863</v>
      </c>
      <c r="P41" s="31">
        <v>0</v>
      </c>
      <c r="Q41" s="11"/>
      <c r="R41" s="11"/>
      <c r="S41" s="11"/>
      <c r="T41" s="11"/>
      <c r="U41" s="11"/>
      <c r="V41" s="11"/>
      <c r="W41" s="11"/>
      <c r="X41" s="11"/>
    </row>
    <row r="42" spans="1:24" s="12" customFormat="1" ht="14.85">
      <c r="A42" s="83">
        <v>5</v>
      </c>
      <c r="B42" s="13" t="s">
        <v>44</v>
      </c>
      <c r="C42" s="31">
        <f>SUM(C43:C47)</f>
        <v>66317000</v>
      </c>
      <c r="D42" s="31">
        <f>SUM(D43:D47)</f>
        <v>82000451</v>
      </c>
      <c r="E42" s="31">
        <f t="shared" ref="E42:J42" si="16">SUM(E43:E47)</f>
        <v>0</v>
      </c>
      <c r="F42" s="31">
        <f t="shared" si="16"/>
        <v>0</v>
      </c>
      <c r="G42" s="31">
        <f t="shared" si="16"/>
        <v>0</v>
      </c>
      <c r="H42" s="31">
        <f t="shared" si="16"/>
        <v>0</v>
      </c>
      <c r="I42" s="31">
        <f t="shared" si="16"/>
        <v>0</v>
      </c>
      <c r="J42" s="31">
        <f t="shared" si="16"/>
        <v>0</v>
      </c>
      <c r="K42" s="31">
        <f t="shared" ref="K42:P42" si="17">SUM(K43:K47)</f>
        <v>66317000</v>
      </c>
      <c r="L42" s="31">
        <f>SUM(L43:L47)</f>
        <v>82000451</v>
      </c>
      <c r="M42" s="31">
        <f t="shared" si="17"/>
        <v>4390000</v>
      </c>
      <c r="N42" s="31">
        <f t="shared" si="17"/>
        <v>61927000</v>
      </c>
      <c r="O42" s="31">
        <f>O43+O44+O45+O46+O47</f>
        <v>4918581</v>
      </c>
      <c r="P42" s="31">
        <f t="shared" si="17"/>
        <v>77081870</v>
      </c>
      <c r="Q42" s="11"/>
      <c r="R42" s="11"/>
      <c r="S42" s="11"/>
      <c r="T42" s="11"/>
      <c r="U42" s="11"/>
      <c r="V42" s="11"/>
      <c r="W42" s="11"/>
      <c r="X42" s="11"/>
    </row>
    <row r="43" spans="1:24" s="12" customFormat="1" ht="24.7" customHeight="1">
      <c r="A43" s="83">
        <v>6</v>
      </c>
      <c r="B43" s="15" t="s">
        <v>219</v>
      </c>
      <c r="C43" s="36">
        <v>4390000</v>
      </c>
      <c r="D43" s="36">
        <v>4024681</v>
      </c>
      <c r="E43" s="36"/>
      <c r="F43" s="36"/>
      <c r="G43" s="36"/>
      <c r="H43" s="36"/>
      <c r="I43" s="36"/>
      <c r="J43" s="36"/>
      <c r="K43" s="31">
        <f>C43+E43+G43+I43</f>
        <v>4390000</v>
      </c>
      <c r="L43" s="31">
        <f t="shared" si="13"/>
        <v>4024681</v>
      </c>
      <c r="M43" s="31">
        <f>C43+E43+G43+I43</f>
        <v>4390000</v>
      </c>
      <c r="N43" s="31">
        <v>0</v>
      </c>
      <c r="O43" s="31">
        <f t="shared" si="14"/>
        <v>4024681</v>
      </c>
      <c r="P43" s="31">
        <v>0</v>
      </c>
      <c r="Q43" s="11"/>
      <c r="R43" s="11"/>
      <c r="S43" s="11"/>
      <c r="T43" s="11"/>
      <c r="U43" s="11"/>
      <c r="V43" s="11"/>
      <c r="W43" s="11"/>
      <c r="X43" s="11"/>
    </row>
    <row r="44" spans="1:24" s="12" customFormat="1" ht="28.25">
      <c r="A44" s="83">
        <v>7</v>
      </c>
      <c r="B44" s="15" t="s">
        <v>46</v>
      </c>
      <c r="C44" s="36"/>
      <c r="D44" s="36"/>
      <c r="E44" s="36"/>
      <c r="F44" s="36"/>
      <c r="G44" s="36"/>
      <c r="H44" s="36"/>
      <c r="I44" s="36"/>
      <c r="J44" s="36"/>
      <c r="K44" s="31">
        <f t="shared" si="15"/>
        <v>0</v>
      </c>
      <c r="L44" s="31">
        <f t="shared" si="13"/>
        <v>0</v>
      </c>
      <c r="M44" s="31">
        <f>C44+E44+G44+I44</f>
        <v>0</v>
      </c>
      <c r="N44" s="31">
        <v>0</v>
      </c>
      <c r="O44" s="31">
        <f t="shared" si="14"/>
        <v>0</v>
      </c>
      <c r="P44" s="31">
        <v>0</v>
      </c>
      <c r="Q44" s="11"/>
      <c r="R44" s="11"/>
      <c r="S44" s="11"/>
      <c r="T44" s="11"/>
      <c r="U44" s="11"/>
      <c r="V44" s="11"/>
      <c r="W44" s="11"/>
      <c r="X44" s="11"/>
    </row>
    <row r="45" spans="1:24" s="12" customFormat="1" ht="14.85">
      <c r="A45" s="83"/>
      <c r="B45" s="15" t="s">
        <v>185</v>
      </c>
      <c r="C45" s="36">
        <v>0</v>
      </c>
      <c r="D45" s="36">
        <v>893900</v>
      </c>
      <c r="E45" s="36"/>
      <c r="F45" s="36"/>
      <c r="G45" s="36"/>
      <c r="H45" s="36"/>
      <c r="I45" s="36"/>
      <c r="J45" s="36"/>
      <c r="K45" s="31">
        <f>C45+E45+G45+I45</f>
        <v>0</v>
      </c>
      <c r="L45" s="31">
        <f t="shared" si="13"/>
        <v>893900</v>
      </c>
      <c r="M45" s="31"/>
      <c r="N45" s="31"/>
      <c r="O45" s="31">
        <f t="shared" si="14"/>
        <v>893900</v>
      </c>
      <c r="P45" s="31"/>
      <c r="Q45" s="11"/>
      <c r="R45" s="11"/>
      <c r="S45" s="11"/>
      <c r="T45" s="11"/>
      <c r="U45" s="11"/>
      <c r="V45" s="11"/>
      <c r="W45" s="11"/>
      <c r="X45" s="11"/>
    </row>
    <row r="46" spans="1:24" s="12" customFormat="1" ht="14.85">
      <c r="A46" s="83"/>
      <c r="B46" s="15" t="s">
        <v>184</v>
      </c>
      <c r="C46" s="36">
        <v>0</v>
      </c>
      <c r="D46" s="36">
        <v>0</v>
      </c>
      <c r="E46" s="36"/>
      <c r="F46" s="36"/>
      <c r="G46" s="36"/>
      <c r="H46" s="36"/>
      <c r="I46" s="36"/>
      <c r="J46" s="36"/>
      <c r="K46" s="31">
        <f t="shared" si="15"/>
        <v>0</v>
      </c>
      <c r="L46" s="31">
        <f t="shared" si="13"/>
        <v>0</v>
      </c>
      <c r="M46" s="31"/>
      <c r="N46" s="31"/>
      <c r="O46" s="31">
        <f t="shared" si="14"/>
        <v>0</v>
      </c>
      <c r="P46" s="31"/>
      <c r="Q46" s="11"/>
      <c r="R46" s="11"/>
      <c r="S46" s="11"/>
      <c r="T46" s="11"/>
      <c r="U46" s="11"/>
      <c r="V46" s="11"/>
      <c r="W46" s="11"/>
      <c r="X46" s="11"/>
    </row>
    <row r="47" spans="1:24" s="12" customFormat="1" ht="28.25">
      <c r="A47" s="83">
        <v>8</v>
      </c>
      <c r="B47" s="15" t="s">
        <v>47</v>
      </c>
      <c r="C47" s="36">
        <v>61927000</v>
      </c>
      <c r="D47" s="36">
        <v>77081870</v>
      </c>
      <c r="E47" s="36"/>
      <c r="F47" s="36"/>
      <c r="G47" s="36"/>
      <c r="H47" s="36"/>
      <c r="I47" s="36"/>
      <c r="J47" s="36"/>
      <c r="K47" s="31">
        <f t="shared" si="15"/>
        <v>61927000</v>
      </c>
      <c r="L47" s="31">
        <f t="shared" si="13"/>
        <v>77081870</v>
      </c>
      <c r="M47" s="31">
        <v>0</v>
      </c>
      <c r="N47" s="31">
        <f>C47</f>
        <v>61927000</v>
      </c>
      <c r="O47" s="31">
        <f>F47+H47+J47</f>
        <v>0</v>
      </c>
      <c r="P47" s="31">
        <f>D47</f>
        <v>77081870</v>
      </c>
      <c r="Q47" s="11"/>
      <c r="R47" s="11"/>
      <c r="S47" s="11"/>
      <c r="T47" s="11"/>
      <c r="U47" s="11"/>
      <c r="V47" s="11"/>
      <c r="W47" s="11"/>
      <c r="X47" s="11"/>
    </row>
    <row r="48" spans="1:24" s="18" customFormat="1" ht="29.65">
      <c r="A48" s="186">
        <v>9</v>
      </c>
      <c r="B48" s="13" t="s">
        <v>147</v>
      </c>
      <c r="C48" s="30">
        <v>4200000</v>
      </c>
      <c r="D48" s="30">
        <f>3741000+24000</f>
        <v>3765000</v>
      </c>
      <c r="E48" s="30"/>
      <c r="F48" s="30"/>
      <c r="G48" s="30"/>
      <c r="H48" s="30"/>
      <c r="I48" s="30"/>
      <c r="J48" s="30"/>
      <c r="K48" s="31">
        <f t="shared" si="15"/>
        <v>4200000</v>
      </c>
      <c r="L48" s="31">
        <f t="shared" si="13"/>
        <v>3765000</v>
      </c>
      <c r="M48" s="31">
        <f>C48+E48+G48+I48-N48</f>
        <v>4200000</v>
      </c>
      <c r="N48" s="31">
        <v>0</v>
      </c>
      <c r="O48" s="31">
        <f t="shared" si="14"/>
        <v>3765000</v>
      </c>
      <c r="P48" s="31">
        <v>0</v>
      </c>
      <c r="Q48" s="17"/>
      <c r="R48" s="17"/>
      <c r="S48" s="17"/>
      <c r="T48" s="17"/>
      <c r="U48" s="17"/>
      <c r="V48" s="17"/>
      <c r="W48" s="17"/>
      <c r="X48" s="17"/>
    </row>
    <row r="49" spans="1:24" ht="14.85">
      <c r="A49" s="83">
        <v>10</v>
      </c>
      <c r="B49" s="13" t="s">
        <v>48</v>
      </c>
      <c r="C49" s="31">
        <f>SUM(C50:C51)</f>
        <v>299596974</v>
      </c>
      <c r="D49" s="31">
        <f t="shared" ref="D49:M49" si="18">SUM(D50:D51)</f>
        <v>606578121</v>
      </c>
      <c r="E49" s="31">
        <f t="shared" si="18"/>
        <v>0</v>
      </c>
      <c r="F49" s="31">
        <f t="shared" si="18"/>
        <v>0</v>
      </c>
      <c r="G49" s="31">
        <f t="shared" si="18"/>
        <v>0</v>
      </c>
      <c r="H49" s="31">
        <f t="shared" si="18"/>
        <v>0</v>
      </c>
      <c r="I49" s="31">
        <f t="shared" si="18"/>
        <v>0</v>
      </c>
      <c r="J49" s="31">
        <f t="shared" si="18"/>
        <v>0</v>
      </c>
      <c r="K49" s="31">
        <f t="shared" si="18"/>
        <v>299596974</v>
      </c>
      <c r="L49" s="31">
        <f t="shared" si="18"/>
        <v>606578121</v>
      </c>
      <c r="M49" s="31">
        <f t="shared" si="18"/>
        <v>299596974</v>
      </c>
      <c r="N49" s="31">
        <f>SUM(N50:N51)</f>
        <v>0</v>
      </c>
      <c r="O49" s="31">
        <f t="shared" si="14"/>
        <v>606578121</v>
      </c>
      <c r="P49" s="31">
        <v>0</v>
      </c>
    </row>
    <row r="50" spans="1:24" ht="14.85">
      <c r="A50" s="83">
        <v>11</v>
      </c>
      <c r="B50" s="15" t="s">
        <v>49</v>
      </c>
      <c r="C50" s="36">
        <v>50096974</v>
      </c>
      <c r="D50" s="36">
        <v>606578121</v>
      </c>
      <c r="E50" s="36"/>
      <c r="F50" s="36"/>
      <c r="G50" s="36"/>
      <c r="H50" s="36"/>
      <c r="I50" s="36"/>
      <c r="J50" s="36"/>
      <c r="K50" s="31">
        <f t="shared" si="15"/>
        <v>50096974</v>
      </c>
      <c r="L50" s="31">
        <f t="shared" si="13"/>
        <v>606578121</v>
      </c>
      <c r="M50" s="31">
        <f>C50+E50+G50+I50</f>
        <v>50096974</v>
      </c>
      <c r="N50" s="31">
        <v>0</v>
      </c>
      <c r="O50" s="31">
        <f t="shared" si="14"/>
        <v>606578121</v>
      </c>
      <c r="P50" s="31">
        <v>0</v>
      </c>
    </row>
    <row r="51" spans="1:24" ht="14.85">
      <c r="A51" s="83">
        <v>12</v>
      </c>
      <c r="B51" s="15" t="s">
        <v>50</v>
      </c>
      <c r="C51" s="36">
        <v>249500000</v>
      </c>
      <c r="D51" s="36"/>
      <c r="E51" s="36"/>
      <c r="F51" s="36"/>
      <c r="G51" s="36"/>
      <c r="H51" s="36"/>
      <c r="I51" s="36"/>
      <c r="J51" s="36"/>
      <c r="K51" s="31">
        <f t="shared" si="15"/>
        <v>249500000</v>
      </c>
      <c r="L51" s="31">
        <f t="shared" si="13"/>
        <v>0</v>
      </c>
      <c r="M51" s="31">
        <f>C51+E51+G51+I51</f>
        <v>249500000</v>
      </c>
      <c r="N51" s="31">
        <v>0</v>
      </c>
      <c r="O51" s="31">
        <f t="shared" si="14"/>
        <v>0</v>
      </c>
      <c r="P51" s="31">
        <v>0</v>
      </c>
    </row>
    <row r="52" spans="1:24" s="16" customFormat="1" ht="14.85">
      <c r="A52" s="83">
        <v>13</v>
      </c>
      <c r="B52" s="14" t="s">
        <v>51</v>
      </c>
      <c r="C52" s="35">
        <f t="shared" ref="C52:P52" si="19">C49+C42+C41+C40+C39+C38+C48</f>
        <v>662085129</v>
      </c>
      <c r="D52" s="35">
        <f t="shared" si="19"/>
        <v>1101073070</v>
      </c>
      <c r="E52" s="35">
        <f t="shared" si="19"/>
        <v>63305183</v>
      </c>
      <c r="F52" s="35">
        <f t="shared" si="19"/>
        <v>72707149</v>
      </c>
      <c r="G52" s="35">
        <f t="shared" si="19"/>
        <v>223464916</v>
      </c>
      <c r="H52" s="35">
        <f t="shared" si="19"/>
        <v>246496372</v>
      </c>
      <c r="I52" s="35">
        <f t="shared" si="19"/>
        <v>110716290</v>
      </c>
      <c r="J52" s="35">
        <f t="shared" si="19"/>
        <v>124646088</v>
      </c>
      <c r="K52" s="35">
        <f t="shared" si="19"/>
        <v>1059571518</v>
      </c>
      <c r="L52" s="35">
        <f t="shared" si="19"/>
        <v>1544922679</v>
      </c>
      <c r="M52" s="35">
        <f t="shared" si="19"/>
        <v>997644518</v>
      </c>
      <c r="N52" s="35">
        <f t="shared" si="19"/>
        <v>61927000</v>
      </c>
      <c r="O52" s="35">
        <f t="shared" si="19"/>
        <v>1467840809</v>
      </c>
      <c r="P52" s="35">
        <f t="shared" si="19"/>
        <v>77081870</v>
      </c>
      <c r="Q52" s="26"/>
      <c r="R52" s="26"/>
      <c r="S52" s="26"/>
      <c r="T52" s="26"/>
      <c r="U52" s="26"/>
      <c r="V52" s="26"/>
      <c r="W52" s="26"/>
      <c r="X52" s="26"/>
    </row>
    <row r="53" spans="1:24" ht="14.85">
      <c r="A53" s="83">
        <v>14</v>
      </c>
      <c r="B53" s="13" t="s">
        <v>148</v>
      </c>
      <c r="C53" s="31">
        <f>245019000-C54</f>
        <v>243749000</v>
      </c>
      <c r="D53" s="31">
        <v>170596319</v>
      </c>
      <c r="E53" s="31"/>
      <c r="F53" s="31"/>
      <c r="G53" s="31"/>
      <c r="H53" s="31"/>
      <c r="I53" s="31"/>
      <c r="J53" s="31"/>
      <c r="K53" s="31">
        <f t="shared" si="15"/>
        <v>243749000</v>
      </c>
      <c r="L53" s="31">
        <f t="shared" si="13"/>
        <v>170596319</v>
      </c>
      <c r="M53" s="31">
        <f>K53</f>
        <v>243749000</v>
      </c>
      <c r="N53" s="31"/>
      <c r="O53" s="31">
        <f t="shared" ref="O53:O58" si="20">D53+F53+H53+J53</f>
        <v>170596319</v>
      </c>
      <c r="P53" s="31">
        <v>0</v>
      </c>
    </row>
    <row r="54" spans="1:24" ht="14.85">
      <c r="A54" s="83">
        <v>15</v>
      </c>
      <c r="B54" s="13" t="s">
        <v>53</v>
      </c>
      <c r="C54" s="31">
        <v>1270000</v>
      </c>
      <c r="D54" s="31">
        <v>1260400</v>
      </c>
      <c r="E54" s="31"/>
      <c r="F54" s="31"/>
      <c r="G54" s="31"/>
      <c r="H54" s="31"/>
      <c r="I54" s="31"/>
      <c r="J54" s="31"/>
      <c r="K54" s="31">
        <f t="shared" si="15"/>
        <v>1270000</v>
      </c>
      <c r="L54" s="31">
        <f t="shared" si="13"/>
        <v>1260400</v>
      </c>
      <c r="M54" s="31">
        <f>C54</f>
        <v>1270000</v>
      </c>
      <c r="N54" s="31">
        <v>0</v>
      </c>
      <c r="O54" s="31">
        <f t="shared" si="20"/>
        <v>1260400</v>
      </c>
      <c r="P54" s="31">
        <v>0</v>
      </c>
    </row>
    <row r="55" spans="1:24" ht="14.85">
      <c r="A55" s="83">
        <v>20</v>
      </c>
      <c r="B55" s="13" t="s">
        <v>54</v>
      </c>
      <c r="C55" s="31">
        <f t="shared" ref="C55:N55" si="21">SUM(C56:C58)</f>
        <v>0</v>
      </c>
      <c r="D55" s="31">
        <f t="shared" si="21"/>
        <v>91660825</v>
      </c>
      <c r="E55" s="31">
        <f t="shared" si="21"/>
        <v>0</v>
      </c>
      <c r="F55" s="31">
        <f t="shared" si="21"/>
        <v>0</v>
      </c>
      <c r="G55" s="31">
        <f t="shared" si="21"/>
        <v>0</v>
      </c>
      <c r="H55" s="31">
        <f t="shared" si="21"/>
        <v>0</v>
      </c>
      <c r="I55" s="31">
        <f t="shared" si="21"/>
        <v>0</v>
      </c>
      <c r="J55" s="31">
        <f t="shared" si="21"/>
        <v>0</v>
      </c>
      <c r="K55" s="31">
        <f t="shared" si="21"/>
        <v>0</v>
      </c>
      <c r="L55" s="31">
        <f t="shared" si="21"/>
        <v>91660825</v>
      </c>
      <c r="M55" s="31">
        <f t="shared" si="21"/>
        <v>0</v>
      </c>
      <c r="N55" s="31">
        <f t="shared" si="21"/>
        <v>0</v>
      </c>
      <c r="O55" s="31">
        <f t="shared" si="20"/>
        <v>91660825</v>
      </c>
      <c r="P55" s="31">
        <v>0</v>
      </c>
    </row>
    <row r="56" spans="1:24" ht="14.85">
      <c r="A56" s="83">
        <v>21</v>
      </c>
      <c r="B56" s="19" t="s">
        <v>55</v>
      </c>
      <c r="C56" s="36"/>
      <c r="D56" s="36">
        <v>86803795</v>
      </c>
      <c r="E56" s="36"/>
      <c r="F56" s="36"/>
      <c r="G56" s="36"/>
      <c r="H56" s="36"/>
      <c r="I56" s="36"/>
      <c r="J56" s="36"/>
      <c r="K56" s="31">
        <f t="shared" si="15"/>
        <v>0</v>
      </c>
      <c r="L56" s="31">
        <f t="shared" si="13"/>
        <v>86803795</v>
      </c>
      <c r="M56" s="31">
        <f>C56+E56+G56+I56</f>
        <v>0</v>
      </c>
      <c r="N56" s="31">
        <v>0</v>
      </c>
      <c r="O56" s="31">
        <f t="shared" si="20"/>
        <v>86803795</v>
      </c>
      <c r="P56" s="31">
        <v>0</v>
      </c>
    </row>
    <row r="57" spans="1:24" ht="28.25">
      <c r="A57" s="83">
        <v>22</v>
      </c>
      <c r="B57" s="19" t="s">
        <v>220</v>
      </c>
      <c r="C57" s="36"/>
      <c r="D57" s="36"/>
      <c r="E57" s="36"/>
      <c r="F57" s="36"/>
      <c r="G57" s="36"/>
      <c r="H57" s="36"/>
      <c r="I57" s="36"/>
      <c r="J57" s="36"/>
      <c r="K57" s="31">
        <f t="shared" si="15"/>
        <v>0</v>
      </c>
      <c r="L57" s="31">
        <f t="shared" si="13"/>
        <v>0</v>
      </c>
      <c r="M57" s="31">
        <f>C57+E57+G57+I57</f>
        <v>0</v>
      </c>
      <c r="N57" s="31">
        <v>0</v>
      </c>
      <c r="O57" s="31">
        <f t="shared" si="20"/>
        <v>0</v>
      </c>
      <c r="P57" s="31">
        <v>0</v>
      </c>
    </row>
    <row r="58" spans="1:24" ht="28.25">
      <c r="A58" s="83">
        <v>24</v>
      </c>
      <c r="B58" s="19" t="s">
        <v>56</v>
      </c>
      <c r="C58" s="36"/>
      <c r="D58" s="36">
        <v>4857030</v>
      </c>
      <c r="E58" s="36"/>
      <c r="F58" s="36"/>
      <c r="G58" s="36"/>
      <c r="H58" s="36"/>
      <c r="I58" s="36"/>
      <c r="J58" s="36"/>
      <c r="K58" s="31">
        <f t="shared" si="15"/>
        <v>0</v>
      </c>
      <c r="L58" s="31">
        <f t="shared" si="13"/>
        <v>4857030</v>
      </c>
      <c r="M58" s="31">
        <f>C58+E58+G58+I58</f>
        <v>0</v>
      </c>
      <c r="N58" s="31">
        <v>0</v>
      </c>
      <c r="O58" s="31">
        <f t="shared" si="20"/>
        <v>4857030</v>
      </c>
      <c r="P58" s="31">
        <v>0</v>
      </c>
    </row>
    <row r="59" spans="1:24" s="16" customFormat="1" ht="14.85">
      <c r="A59" s="83">
        <v>25</v>
      </c>
      <c r="B59" s="14" t="s">
        <v>57</v>
      </c>
      <c r="C59" s="35">
        <f>C53+C54+C55</f>
        <v>245019000</v>
      </c>
      <c r="D59" s="35">
        <f>D53+D54+D55</f>
        <v>263517544</v>
      </c>
      <c r="E59" s="35">
        <f t="shared" ref="E59:P59" si="22">E53+E54+E55</f>
        <v>0</v>
      </c>
      <c r="F59" s="35">
        <f t="shared" si="22"/>
        <v>0</v>
      </c>
      <c r="G59" s="35">
        <f t="shared" si="22"/>
        <v>0</v>
      </c>
      <c r="H59" s="35">
        <f t="shared" si="22"/>
        <v>0</v>
      </c>
      <c r="I59" s="35">
        <f t="shared" si="22"/>
        <v>0</v>
      </c>
      <c r="J59" s="35">
        <f t="shared" si="22"/>
        <v>0</v>
      </c>
      <c r="K59" s="35">
        <f t="shared" si="22"/>
        <v>245019000</v>
      </c>
      <c r="L59" s="35">
        <f t="shared" si="22"/>
        <v>263517544</v>
      </c>
      <c r="M59" s="35">
        <f t="shared" si="22"/>
        <v>245019000</v>
      </c>
      <c r="N59" s="35">
        <f t="shared" si="22"/>
        <v>0</v>
      </c>
      <c r="O59" s="35">
        <f t="shared" si="22"/>
        <v>263517544</v>
      </c>
      <c r="P59" s="35">
        <f t="shared" si="22"/>
        <v>0</v>
      </c>
      <c r="Q59" s="26"/>
      <c r="R59" s="26"/>
      <c r="S59" s="26"/>
      <c r="T59" s="26"/>
      <c r="U59" s="26"/>
      <c r="V59" s="26"/>
      <c r="W59" s="26"/>
      <c r="X59" s="26"/>
    </row>
    <row r="60" spans="1:24" ht="14.85">
      <c r="A60" s="83">
        <v>30</v>
      </c>
      <c r="B60" s="6" t="s">
        <v>58</v>
      </c>
      <c r="C60" s="31">
        <f>C59+C52-C41</f>
        <v>710683490</v>
      </c>
      <c r="D60" s="31">
        <f>D59+D52-D41</f>
        <v>1144721751</v>
      </c>
      <c r="E60" s="31">
        <f>E59+E52</f>
        <v>63305183</v>
      </c>
      <c r="F60" s="31">
        <f t="shared" ref="F60:P60" si="23">F59+F52</f>
        <v>72707149</v>
      </c>
      <c r="G60" s="31">
        <f t="shared" si="23"/>
        <v>223464916</v>
      </c>
      <c r="H60" s="31">
        <f t="shared" si="23"/>
        <v>246496372</v>
      </c>
      <c r="I60" s="31">
        <f t="shared" si="23"/>
        <v>110716290</v>
      </c>
      <c r="J60" s="31">
        <f t="shared" si="23"/>
        <v>124646088</v>
      </c>
      <c r="K60" s="31">
        <f>K59+K52-K41</f>
        <v>1108169879</v>
      </c>
      <c r="L60" s="31">
        <f>L59+L52-D41</f>
        <v>1588571360</v>
      </c>
      <c r="M60" s="31">
        <f>M59+M52-M41</f>
        <v>1046242879</v>
      </c>
      <c r="N60" s="31">
        <f t="shared" si="23"/>
        <v>61927000</v>
      </c>
      <c r="O60" s="31">
        <f>O59+O52-O41</f>
        <v>1511489490</v>
      </c>
      <c r="P60" s="31">
        <f t="shared" si="23"/>
        <v>77081870</v>
      </c>
    </row>
    <row r="61" spans="1:24" ht="14.85">
      <c r="A61" s="83">
        <v>31</v>
      </c>
      <c r="B61" s="9" t="s">
        <v>59</v>
      </c>
      <c r="C61" s="31">
        <v>7131362</v>
      </c>
      <c r="D61" s="31">
        <v>8116997</v>
      </c>
      <c r="E61" s="31">
        <v>0</v>
      </c>
      <c r="F61" s="31">
        <v>0</v>
      </c>
      <c r="G61" s="31">
        <v>0</v>
      </c>
      <c r="H61" s="31">
        <v>0</v>
      </c>
      <c r="I61" s="31"/>
      <c r="J61" s="31"/>
      <c r="K61" s="31">
        <f t="shared" si="15"/>
        <v>7131362</v>
      </c>
      <c r="L61" s="31">
        <f t="shared" si="13"/>
        <v>8116997</v>
      </c>
      <c r="M61" s="31">
        <f>C61+E61+G61+I61</f>
        <v>7131362</v>
      </c>
      <c r="N61" s="31">
        <v>0</v>
      </c>
      <c r="O61" s="31">
        <f>D61</f>
        <v>8116997</v>
      </c>
      <c r="P61" s="31">
        <v>0</v>
      </c>
    </row>
    <row r="62" spans="1:24" ht="14.85">
      <c r="A62" s="83">
        <v>32</v>
      </c>
      <c r="B62" s="27" t="s">
        <v>60</v>
      </c>
      <c r="C62" s="37">
        <f>SUM(C60:C61)</f>
        <v>717814852</v>
      </c>
      <c r="D62" s="37">
        <f t="shared" ref="D62:I62" si="24">SUM(D60:D61)</f>
        <v>1152838748</v>
      </c>
      <c r="E62" s="37">
        <f t="shared" si="24"/>
        <v>63305183</v>
      </c>
      <c r="F62" s="37">
        <f t="shared" si="24"/>
        <v>72707149</v>
      </c>
      <c r="G62" s="37">
        <f t="shared" si="24"/>
        <v>223464916</v>
      </c>
      <c r="H62" s="37">
        <f t="shared" si="24"/>
        <v>246496372</v>
      </c>
      <c r="I62" s="37">
        <f t="shared" si="24"/>
        <v>110716290</v>
      </c>
      <c r="J62" s="37">
        <f>SUM(J60:J61)</f>
        <v>124646088</v>
      </c>
      <c r="K62" s="38">
        <f t="shared" ref="K62:P62" si="25">K60+K61</f>
        <v>1115301241</v>
      </c>
      <c r="L62" s="38">
        <f t="shared" si="25"/>
        <v>1596688357</v>
      </c>
      <c r="M62" s="40">
        <f t="shared" si="25"/>
        <v>1053374241</v>
      </c>
      <c r="N62" s="40">
        <f t="shared" si="25"/>
        <v>61927000</v>
      </c>
      <c r="O62" s="41">
        <f t="shared" si="25"/>
        <v>1519606487</v>
      </c>
      <c r="P62" s="41">
        <f t="shared" si="25"/>
        <v>77081870</v>
      </c>
    </row>
    <row r="63" spans="1:24" ht="15.55">
      <c r="B63" s="20"/>
      <c r="I63" s="39"/>
      <c r="J63" s="39"/>
    </row>
    <row r="64" spans="1:24" ht="15.55">
      <c r="B64" s="20"/>
      <c r="I64" s="39"/>
      <c r="J64" s="39"/>
    </row>
    <row r="65" spans="1:24" ht="72.7" customHeight="1">
      <c r="B65" s="20" t="s">
        <v>61</v>
      </c>
      <c r="P65" s="28" t="s">
        <v>311</v>
      </c>
    </row>
    <row r="66" spans="1:24" ht="15.55">
      <c r="B66" s="20"/>
    </row>
    <row r="67" spans="1:24" ht="15.55">
      <c r="B67" s="20"/>
    </row>
    <row r="68" spans="1:24" ht="15.55">
      <c r="B68" s="20"/>
    </row>
    <row r="69" spans="1:24" ht="15.55">
      <c r="B69" s="20"/>
    </row>
    <row r="70" spans="1:24" ht="15.55">
      <c r="B70" s="20"/>
    </row>
    <row r="71" spans="1:24" ht="15.55">
      <c r="B71" s="20"/>
    </row>
    <row r="72" spans="1:24" s="21" customFormat="1" ht="15.55">
      <c r="A72" s="83"/>
      <c r="B72" s="2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4"/>
      <c r="R72" s="4"/>
      <c r="S72" s="4"/>
      <c r="T72" s="4"/>
      <c r="U72" s="4"/>
      <c r="V72" s="4"/>
      <c r="W72" s="4"/>
      <c r="X72" s="4"/>
    </row>
    <row r="73" spans="1:24" s="21" customFormat="1" ht="15.55">
      <c r="A73" s="83"/>
      <c r="B73" s="2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4"/>
      <c r="R73" s="4"/>
      <c r="S73" s="4"/>
      <c r="T73" s="4"/>
      <c r="U73" s="4"/>
      <c r="V73" s="4"/>
      <c r="W73" s="4"/>
      <c r="X73" s="4"/>
    </row>
    <row r="74" spans="1:24" s="21" customFormat="1" ht="15.55">
      <c r="A74" s="83"/>
      <c r="B74" s="20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4"/>
      <c r="R74" s="4"/>
      <c r="S74" s="4"/>
      <c r="T74" s="4"/>
      <c r="U74" s="4"/>
      <c r="V74" s="4"/>
      <c r="W74" s="4"/>
      <c r="X74" s="4"/>
    </row>
    <row r="75" spans="1:24" s="21" customFormat="1" ht="15.55">
      <c r="A75" s="83"/>
      <c r="B75" s="2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4"/>
      <c r="R75" s="4"/>
      <c r="S75" s="4"/>
      <c r="T75" s="4"/>
      <c r="U75" s="4"/>
      <c r="V75" s="4"/>
      <c r="W75" s="4"/>
      <c r="X75" s="4"/>
    </row>
    <row r="76" spans="1:24" s="21" customFormat="1" ht="15.55">
      <c r="A76" s="83"/>
      <c r="B76" s="2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4"/>
      <c r="R76" s="4"/>
      <c r="S76" s="4"/>
      <c r="T76" s="4"/>
      <c r="U76" s="4"/>
      <c r="V76" s="4"/>
      <c r="W76" s="4"/>
      <c r="X76" s="4"/>
    </row>
    <row r="77" spans="1:24" s="21" customFormat="1" ht="15.55">
      <c r="A77" s="83"/>
      <c r="B77" s="2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4"/>
      <c r="R77" s="4"/>
      <c r="S77" s="4"/>
      <c r="T77" s="4"/>
      <c r="U77" s="4"/>
      <c r="V77" s="4"/>
      <c r="W77" s="4"/>
      <c r="X77" s="4"/>
    </row>
    <row r="78" spans="1:24" s="21" customFormat="1" ht="15.55">
      <c r="A78" s="83"/>
      <c r="B78" s="2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4"/>
      <c r="R78" s="4"/>
      <c r="S78" s="4"/>
      <c r="T78" s="4"/>
      <c r="U78" s="4"/>
      <c r="V78" s="4"/>
      <c r="W78" s="4"/>
      <c r="X78" s="4"/>
    </row>
    <row r="79" spans="1:24" s="21" customFormat="1" ht="15.55">
      <c r="A79" s="83"/>
      <c r="B79" s="20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4"/>
      <c r="R79" s="4"/>
      <c r="S79" s="4"/>
      <c r="T79" s="4"/>
      <c r="U79" s="4"/>
      <c r="V79" s="4"/>
      <c r="W79" s="4"/>
      <c r="X79" s="4"/>
    </row>
    <row r="80" spans="1:24" s="21" customFormat="1" ht="15.55">
      <c r="A80" s="83"/>
      <c r="B80" s="20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4"/>
      <c r="R80" s="4"/>
      <c r="S80" s="4"/>
      <c r="T80" s="4"/>
      <c r="U80" s="4"/>
      <c r="V80" s="4"/>
      <c r="W80" s="4"/>
      <c r="X80" s="4"/>
    </row>
    <row r="81" spans="1:24" s="21" customFormat="1" ht="15.55">
      <c r="A81" s="83"/>
      <c r="B81" s="20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4"/>
      <c r="R81" s="4"/>
      <c r="S81" s="4"/>
      <c r="T81" s="4"/>
      <c r="U81" s="4"/>
      <c r="V81" s="4"/>
      <c r="W81" s="4"/>
      <c r="X81" s="4"/>
    </row>
    <row r="82" spans="1:24" s="21" customFormat="1" ht="15.55">
      <c r="A82" s="83"/>
      <c r="B82" s="20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4"/>
      <c r="R82" s="4"/>
      <c r="S82" s="4"/>
      <c r="T82" s="4"/>
      <c r="U82" s="4"/>
      <c r="V82" s="4"/>
      <c r="W82" s="4"/>
      <c r="X82" s="4"/>
    </row>
    <row r="83" spans="1:24" s="21" customFormat="1" ht="15.55">
      <c r="A83" s="83"/>
      <c r="B83" s="20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4"/>
      <c r="R83" s="4"/>
      <c r="S83" s="4"/>
      <c r="T83" s="4"/>
      <c r="U83" s="4"/>
      <c r="V83" s="4"/>
      <c r="W83" s="4"/>
      <c r="X83" s="4"/>
    </row>
    <row r="84" spans="1:24" s="21" customFormat="1" ht="15.55">
      <c r="A84" s="83"/>
      <c r="B84" s="20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4"/>
      <c r="R84" s="4"/>
      <c r="S84" s="4"/>
      <c r="T84" s="4"/>
      <c r="U84" s="4"/>
      <c r="V84" s="4"/>
      <c r="W84" s="4"/>
      <c r="X84" s="4"/>
    </row>
    <row r="85" spans="1:24" s="21" customFormat="1" ht="15.55">
      <c r="A85" s="83"/>
      <c r="B85" s="2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4"/>
      <c r="R85" s="4"/>
      <c r="S85" s="4"/>
      <c r="T85" s="4"/>
      <c r="U85" s="4"/>
      <c r="V85" s="4"/>
      <c r="W85" s="4"/>
      <c r="X85" s="4"/>
    </row>
    <row r="86" spans="1:24" s="21" customFormat="1" ht="15.55">
      <c r="A86" s="83"/>
      <c r="B86" s="20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4"/>
      <c r="R86" s="4"/>
      <c r="S86" s="4"/>
      <c r="T86" s="4"/>
      <c r="U86" s="4"/>
      <c r="V86" s="4"/>
      <c r="W86" s="4"/>
      <c r="X86" s="4"/>
    </row>
    <row r="87" spans="1:24" s="21" customFormat="1" ht="15.55">
      <c r="A87" s="83"/>
      <c r="B87" s="2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4"/>
      <c r="R87" s="4"/>
      <c r="S87" s="4"/>
      <c r="T87" s="4"/>
      <c r="U87" s="4"/>
      <c r="V87" s="4"/>
      <c r="W87" s="4"/>
      <c r="X87" s="4"/>
    </row>
    <row r="88" spans="1:24" s="21" customFormat="1" ht="15.55">
      <c r="A88" s="83"/>
      <c r="B88" s="20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4"/>
      <c r="R88" s="4"/>
      <c r="S88" s="4"/>
      <c r="T88" s="4"/>
      <c r="U88" s="4"/>
      <c r="V88" s="4"/>
      <c r="W88" s="4"/>
      <c r="X88" s="4"/>
    </row>
    <row r="89" spans="1:24" s="21" customFormat="1" ht="15.55">
      <c r="A89" s="83"/>
      <c r="B89" s="2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4"/>
      <c r="R89" s="4"/>
      <c r="S89" s="4"/>
      <c r="T89" s="4"/>
      <c r="U89" s="4"/>
      <c r="V89" s="4"/>
      <c r="W89" s="4"/>
      <c r="X89" s="4"/>
    </row>
    <row r="90" spans="1:24" s="21" customFormat="1" ht="15.55">
      <c r="A90" s="83"/>
      <c r="B90" s="20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4"/>
      <c r="R90" s="4"/>
      <c r="S90" s="4"/>
      <c r="T90" s="4"/>
      <c r="U90" s="4"/>
      <c r="V90" s="4"/>
      <c r="W90" s="4"/>
      <c r="X90" s="4"/>
    </row>
    <row r="91" spans="1:24" s="21" customFormat="1" ht="15.55">
      <c r="A91" s="83"/>
      <c r="B91" s="20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4"/>
      <c r="R91" s="4"/>
      <c r="S91" s="4"/>
      <c r="T91" s="4"/>
      <c r="U91" s="4"/>
      <c r="V91" s="4"/>
      <c r="W91" s="4"/>
      <c r="X91" s="4"/>
    </row>
    <row r="92" spans="1:24" s="21" customFormat="1" ht="15.55">
      <c r="A92" s="83"/>
      <c r="B92" s="20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4"/>
      <c r="R92" s="4"/>
      <c r="S92" s="4"/>
      <c r="T92" s="4"/>
      <c r="U92" s="4"/>
      <c r="V92" s="4"/>
      <c r="W92" s="4"/>
      <c r="X92" s="4"/>
    </row>
    <row r="93" spans="1:24" s="21" customFormat="1" ht="15.55">
      <c r="A93" s="83"/>
      <c r="B93" s="20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4"/>
      <c r="R93" s="4"/>
      <c r="S93" s="4"/>
      <c r="T93" s="4"/>
      <c r="U93" s="4"/>
      <c r="V93" s="4"/>
      <c r="W93" s="4"/>
      <c r="X93" s="4"/>
    </row>
    <row r="94" spans="1:24" s="21" customFormat="1" ht="15.55">
      <c r="A94" s="83"/>
      <c r="B94" s="20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4"/>
      <c r="R94" s="4"/>
      <c r="S94" s="4"/>
      <c r="T94" s="4"/>
      <c r="U94" s="4"/>
      <c r="V94" s="4"/>
      <c r="W94" s="4"/>
      <c r="X94" s="4"/>
    </row>
    <row r="95" spans="1:24" s="21" customFormat="1" ht="15.55">
      <c r="A95" s="83"/>
      <c r="B95" s="20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4"/>
      <c r="R95" s="4"/>
      <c r="S95" s="4"/>
      <c r="T95" s="4"/>
      <c r="U95" s="4"/>
      <c r="V95" s="4"/>
      <c r="W95" s="4"/>
      <c r="X95" s="4"/>
    </row>
    <row r="96" spans="1:24" s="21" customFormat="1" ht="15.55">
      <c r="A96" s="83"/>
      <c r="B96" s="20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4"/>
      <c r="R96" s="4"/>
      <c r="S96" s="4"/>
      <c r="T96" s="4"/>
      <c r="U96" s="4"/>
      <c r="V96" s="4"/>
      <c r="W96" s="4"/>
      <c r="X96" s="4"/>
    </row>
    <row r="97" spans="1:24" s="21" customFormat="1" ht="15.55">
      <c r="A97" s="83"/>
      <c r="B97" s="20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4"/>
      <c r="R97" s="4"/>
      <c r="S97" s="4"/>
      <c r="T97" s="4"/>
      <c r="U97" s="4"/>
      <c r="V97" s="4"/>
      <c r="W97" s="4"/>
      <c r="X97" s="4"/>
    </row>
    <row r="98" spans="1:24" s="21" customFormat="1" ht="15.55">
      <c r="A98" s="83"/>
      <c r="B98" s="20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4"/>
      <c r="R98" s="4"/>
      <c r="S98" s="4"/>
      <c r="T98" s="4"/>
      <c r="U98" s="4"/>
      <c r="V98" s="4"/>
      <c r="W98" s="4"/>
      <c r="X98" s="4"/>
    </row>
    <row r="99" spans="1:24" s="21" customFormat="1" ht="15.55">
      <c r="A99" s="83"/>
      <c r="B99" s="2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4"/>
      <c r="R99" s="4"/>
      <c r="S99" s="4"/>
      <c r="T99" s="4"/>
      <c r="U99" s="4"/>
      <c r="V99" s="4"/>
      <c r="W99" s="4"/>
      <c r="X99" s="4"/>
    </row>
    <row r="100" spans="1:24" s="21" customFormat="1" ht="15.55">
      <c r="A100" s="83"/>
      <c r="B100" s="20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4"/>
      <c r="R100" s="4"/>
      <c r="S100" s="4"/>
      <c r="T100" s="4"/>
      <c r="U100" s="4"/>
      <c r="V100" s="4"/>
      <c r="W100" s="4"/>
      <c r="X100" s="4"/>
    </row>
    <row r="101" spans="1:24" s="21" customFormat="1" ht="15.55">
      <c r="A101" s="83"/>
      <c r="B101" s="20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4"/>
      <c r="R101" s="4"/>
      <c r="S101" s="4"/>
      <c r="T101" s="4"/>
      <c r="U101" s="4"/>
      <c r="V101" s="4"/>
      <c r="W101" s="4"/>
      <c r="X101" s="4"/>
    </row>
    <row r="102" spans="1:24" s="21" customFormat="1" ht="15.55">
      <c r="A102" s="83"/>
      <c r="B102" s="20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4"/>
      <c r="R102" s="4"/>
      <c r="S102" s="4"/>
      <c r="T102" s="4"/>
      <c r="U102" s="4"/>
      <c r="V102" s="4"/>
      <c r="W102" s="4"/>
      <c r="X102" s="4"/>
    </row>
    <row r="103" spans="1:24" s="21" customFormat="1" ht="15.55">
      <c r="A103" s="83"/>
      <c r="B103" s="20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4"/>
      <c r="R103" s="4"/>
      <c r="S103" s="4"/>
      <c r="T103" s="4"/>
      <c r="U103" s="4"/>
      <c r="V103" s="4"/>
      <c r="W103" s="4"/>
      <c r="X103" s="4"/>
    </row>
    <row r="104" spans="1:24" s="21" customFormat="1" ht="15.55">
      <c r="A104" s="83"/>
      <c r="B104" s="20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4"/>
      <c r="R104" s="4"/>
      <c r="S104" s="4"/>
      <c r="T104" s="4"/>
      <c r="U104" s="4"/>
      <c r="V104" s="4"/>
      <c r="W104" s="4"/>
      <c r="X104" s="4"/>
    </row>
    <row r="105" spans="1:24" s="21" customFormat="1" ht="15.55">
      <c r="A105" s="83"/>
      <c r="B105" s="20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4"/>
      <c r="R105" s="4"/>
      <c r="S105" s="4"/>
      <c r="T105" s="4"/>
      <c r="U105" s="4"/>
      <c r="V105" s="4"/>
      <c r="W105" s="4"/>
      <c r="X105" s="4"/>
    </row>
    <row r="106" spans="1:24" s="21" customFormat="1" ht="15.55">
      <c r="A106" s="83"/>
      <c r="B106" s="20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4"/>
      <c r="R106" s="4"/>
      <c r="S106" s="4"/>
      <c r="T106" s="4"/>
      <c r="U106" s="4"/>
      <c r="V106" s="4"/>
      <c r="W106" s="4"/>
      <c r="X106" s="4"/>
    </row>
    <row r="107" spans="1:24" s="21" customFormat="1" ht="15.55">
      <c r="A107" s="83"/>
      <c r="B107" s="20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4"/>
      <c r="R107" s="4"/>
      <c r="S107" s="4"/>
      <c r="T107" s="4"/>
      <c r="U107" s="4"/>
      <c r="V107" s="4"/>
      <c r="W107" s="4"/>
      <c r="X107" s="4"/>
    </row>
    <row r="108" spans="1:24" s="21" customFormat="1" ht="15.55">
      <c r="A108" s="83"/>
      <c r="B108" s="20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4"/>
      <c r="R108" s="4"/>
      <c r="S108" s="4"/>
      <c r="T108" s="4"/>
      <c r="U108" s="4"/>
      <c r="V108" s="4"/>
      <c r="W108" s="4"/>
      <c r="X108" s="4"/>
    </row>
    <row r="109" spans="1:24" s="21" customFormat="1" ht="15.55">
      <c r="A109" s="83"/>
      <c r="B109" s="20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4"/>
      <c r="R109" s="4"/>
      <c r="S109" s="4"/>
      <c r="T109" s="4"/>
      <c r="U109" s="4"/>
      <c r="V109" s="4"/>
      <c r="W109" s="4"/>
      <c r="X109" s="4"/>
    </row>
    <row r="110" spans="1:24" s="21" customFormat="1" ht="15.55">
      <c r="A110" s="83"/>
      <c r="B110" s="2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4"/>
      <c r="R110" s="4"/>
      <c r="S110" s="4"/>
      <c r="T110" s="4"/>
      <c r="U110" s="4"/>
      <c r="V110" s="4"/>
      <c r="W110" s="4"/>
      <c r="X110" s="4"/>
    </row>
    <row r="111" spans="1:24" s="21" customFormat="1" ht="15.55">
      <c r="A111" s="83"/>
      <c r="B111" s="20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4"/>
      <c r="R111" s="4"/>
      <c r="S111" s="4"/>
      <c r="T111" s="4"/>
      <c r="U111" s="4"/>
      <c r="V111" s="4"/>
      <c r="W111" s="4"/>
      <c r="X111" s="4"/>
    </row>
    <row r="112" spans="1:24" s="21" customFormat="1" ht="15.55">
      <c r="A112" s="83"/>
      <c r="B112" s="2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4"/>
      <c r="R112" s="4"/>
      <c r="S112" s="4"/>
      <c r="T112" s="4"/>
      <c r="U112" s="4"/>
      <c r="V112" s="4"/>
      <c r="W112" s="4"/>
      <c r="X112" s="4"/>
    </row>
    <row r="113" spans="1:24" s="21" customFormat="1" ht="15.55">
      <c r="A113" s="83"/>
      <c r="B113" s="20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4"/>
      <c r="R113" s="4"/>
      <c r="S113" s="4"/>
      <c r="T113" s="4"/>
      <c r="U113" s="4"/>
      <c r="V113" s="4"/>
      <c r="W113" s="4"/>
      <c r="X113" s="4"/>
    </row>
    <row r="114" spans="1:24" s="21" customFormat="1" ht="15.55">
      <c r="A114" s="83"/>
      <c r="B114" s="20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4"/>
      <c r="R114" s="4"/>
      <c r="S114" s="4"/>
      <c r="T114" s="4"/>
      <c r="U114" s="4"/>
      <c r="V114" s="4"/>
      <c r="W114" s="4"/>
      <c r="X114" s="4"/>
    </row>
    <row r="115" spans="1:24" s="21" customFormat="1" ht="15.55">
      <c r="A115" s="83"/>
      <c r="B115" s="2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4"/>
      <c r="R115" s="4"/>
      <c r="S115" s="4"/>
      <c r="T115" s="4"/>
      <c r="U115" s="4"/>
      <c r="V115" s="4"/>
      <c r="W115" s="4"/>
      <c r="X115" s="4"/>
    </row>
    <row r="116" spans="1:24" s="21" customFormat="1" ht="15.55">
      <c r="A116" s="83"/>
      <c r="B116" s="20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4"/>
      <c r="R116" s="4"/>
      <c r="S116" s="4"/>
      <c r="T116" s="4"/>
      <c r="U116" s="4"/>
      <c r="V116" s="4"/>
      <c r="W116" s="4"/>
      <c r="X116" s="4"/>
    </row>
    <row r="117" spans="1:24" s="21" customFormat="1" ht="15.55">
      <c r="A117" s="83"/>
      <c r="B117" s="20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4"/>
      <c r="R117" s="4"/>
      <c r="S117" s="4"/>
      <c r="T117" s="4"/>
      <c r="U117" s="4"/>
      <c r="V117" s="4"/>
      <c r="W117" s="4"/>
      <c r="X117" s="4"/>
    </row>
    <row r="118" spans="1:24" s="21" customFormat="1" ht="15.55">
      <c r="A118" s="83"/>
      <c r="B118" s="20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4"/>
      <c r="R118" s="4"/>
      <c r="S118" s="4"/>
      <c r="T118" s="4"/>
      <c r="U118" s="4"/>
      <c r="V118" s="4"/>
      <c r="W118" s="4"/>
      <c r="X118" s="4"/>
    </row>
    <row r="119" spans="1:24" s="21" customFormat="1" ht="15.55">
      <c r="A119" s="83"/>
      <c r="B119" s="20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4"/>
      <c r="R119" s="4"/>
      <c r="S119" s="4"/>
      <c r="T119" s="4"/>
      <c r="U119" s="4"/>
      <c r="V119" s="4"/>
      <c r="W119" s="4"/>
      <c r="X119" s="4"/>
    </row>
    <row r="120" spans="1:24" s="21" customFormat="1" ht="15.55">
      <c r="A120" s="83"/>
      <c r="B120" s="20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4"/>
      <c r="R120" s="4"/>
      <c r="S120" s="4"/>
      <c r="T120" s="4"/>
      <c r="U120" s="4"/>
      <c r="V120" s="4"/>
      <c r="W120" s="4"/>
      <c r="X120" s="4"/>
    </row>
  </sheetData>
  <mergeCells count="1">
    <mergeCell ref="C1:P1"/>
  </mergeCells>
  <phoneticPr fontId="5" type="noConversion"/>
  <printOptions horizontalCentered="1" verticalCentered="1"/>
  <pageMargins left="0.78740157480314965" right="0.59055118110236227" top="0.94488188976377963" bottom="0.78740157480314965" header="0.51181102362204722" footer="0.51181102362204722"/>
  <pageSetup paperSize="9" scale="40" fitToHeight="2" orientation="landscape" verticalDpi="300" r:id="rId1"/>
  <headerFooter alignWithMargins="0"/>
  <rowBreaks count="1" manualBreakCount="1">
    <brk id="3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topLeftCell="A19" workbookViewId="0">
      <selection activeCell="E34" sqref="E34"/>
    </sheetView>
  </sheetViews>
  <sheetFormatPr defaultColWidth="9.125" defaultRowHeight="12.7"/>
  <cols>
    <col min="1" max="1" width="6.625" style="83" customWidth="1"/>
    <col min="2" max="2" width="51.125" style="1" customWidth="1"/>
    <col min="3" max="3" width="18.875" style="1" customWidth="1"/>
    <col min="4" max="4" width="17.125" style="1" customWidth="1"/>
    <col min="5" max="5" width="19.375" style="188" customWidth="1"/>
    <col min="6" max="6" width="13.875" style="1" customWidth="1"/>
    <col min="7" max="7" width="12.875" style="1" customWidth="1"/>
    <col min="8" max="8" width="13.5" style="1" customWidth="1"/>
    <col min="9" max="9" width="20.625" style="1" customWidth="1"/>
    <col min="10" max="10" width="18" style="1" customWidth="1"/>
    <col min="11" max="16384" width="9.125" style="1"/>
  </cols>
  <sheetData>
    <row r="1" spans="1:7">
      <c r="B1" s="229" t="s">
        <v>308</v>
      </c>
      <c r="C1" s="229"/>
      <c r="D1" s="229"/>
      <c r="E1" s="229"/>
    </row>
    <row r="2" spans="1:7">
      <c r="B2" s="224"/>
      <c r="C2" s="224"/>
      <c r="D2" s="224" t="s">
        <v>320</v>
      </c>
      <c r="E2" s="224"/>
    </row>
    <row r="3" spans="1:7">
      <c r="B3" s="229"/>
      <c r="C3" s="229"/>
      <c r="D3" s="229"/>
      <c r="E3" s="229"/>
    </row>
    <row r="4" spans="1:7" ht="19.600000000000001" customHeight="1">
      <c r="B4" s="43" t="s">
        <v>186</v>
      </c>
    </row>
    <row r="5" spans="1:7">
      <c r="E5" s="188" t="s">
        <v>84</v>
      </c>
    </row>
    <row r="6" spans="1:7" ht="13.45" thickBot="1">
      <c r="B6" s="52" t="s">
        <v>5</v>
      </c>
      <c r="C6" s="52" t="s">
        <v>187</v>
      </c>
      <c r="D6" s="52" t="s">
        <v>7</v>
      </c>
      <c r="E6" s="189" t="s">
        <v>8</v>
      </c>
    </row>
    <row r="7" spans="1:7" ht="48" customHeight="1">
      <c r="A7" s="83">
        <v>1</v>
      </c>
      <c r="B7" s="130" t="s">
        <v>188</v>
      </c>
      <c r="C7" s="131" t="s">
        <v>189</v>
      </c>
      <c r="D7" s="131" t="s">
        <v>190</v>
      </c>
      <c r="E7" s="190" t="s">
        <v>191</v>
      </c>
    </row>
    <row r="8" spans="1:7" ht="31.8">
      <c r="A8" s="83">
        <v>2</v>
      </c>
      <c r="B8" s="132" t="s">
        <v>192</v>
      </c>
      <c r="C8" s="133">
        <v>88000000</v>
      </c>
      <c r="D8" s="134">
        <v>4000000</v>
      </c>
      <c r="E8" s="191" t="s">
        <v>193</v>
      </c>
      <c r="G8" s="135"/>
    </row>
    <row r="9" spans="1:7" ht="14.15">
      <c r="A9" s="83">
        <v>3</v>
      </c>
      <c r="B9" s="132" t="s">
        <v>194</v>
      </c>
      <c r="C9" s="133">
        <v>45500000</v>
      </c>
      <c r="D9" s="134">
        <v>1000000</v>
      </c>
      <c r="E9" s="191" t="s">
        <v>195</v>
      </c>
      <c r="G9" s="135"/>
    </row>
    <row r="10" spans="1:7" ht="14.15">
      <c r="A10" s="83">
        <v>4</v>
      </c>
      <c r="B10" s="132" t="s">
        <v>196</v>
      </c>
      <c r="C10" s="133">
        <v>63500000</v>
      </c>
      <c r="D10" s="134">
        <v>0</v>
      </c>
      <c r="E10" s="192"/>
      <c r="G10" s="135"/>
    </row>
    <row r="11" spans="1:7" ht="28.25">
      <c r="A11" s="83">
        <v>5</v>
      </c>
      <c r="B11" s="132" t="s">
        <v>197</v>
      </c>
      <c r="C11" s="133">
        <v>40700000</v>
      </c>
      <c r="D11" s="134">
        <v>1000000</v>
      </c>
      <c r="E11" s="191" t="s">
        <v>198</v>
      </c>
      <c r="G11" s="135"/>
    </row>
    <row r="12" spans="1:7" ht="14.15">
      <c r="A12" s="83">
        <v>6</v>
      </c>
      <c r="B12" s="132" t="s">
        <v>140</v>
      </c>
      <c r="C12" s="133">
        <v>0</v>
      </c>
      <c r="D12" s="134">
        <v>0</v>
      </c>
      <c r="E12" s="192"/>
      <c r="G12" s="135"/>
    </row>
    <row r="13" spans="1:7" ht="14.15">
      <c r="A13" s="83">
        <v>7</v>
      </c>
      <c r="B13" s="136" t="s">
        <v>199</v>
      </c>
      <c r="C13" s="137">
        <v>7300000</v>
      </c>
      <c r="D13" s="134">
        <v>0</v>
      </c>
      <c r="E13" s="192"/>
      <c r="G13" s="135"/>
    </row>
    <row r="14" spans="1:7" ht="14.15">
      <c r="A14" s="83">
        <v>8</v>
      </c>
      <c r="B14" s="48" t="s">
        <v>167</v>
      </c>
      <c r="C14" s="138">
        <v>1000000</v>
      </c>
      <c r="D14" s="139">
        <v>0</v>
      </c>
      <c r="E14" s="193"/>
      <c r="G14" s="135"/>
    </row>
    <row r="15" spans="1:7" ht="14.15">
      <c r="A15" s="83">
        <v>9</v>
      </c>
      <c r="B15" s="48" t="s">
        <v>165</v>
      </c>
      <c r="C15" s="138"/>
      <c r="D15" s="139">
        <v>0</v>
      </c>
      <c r="E15" s="193"/>
      <c r="G15" s="135"/>
    </row>
    <row r="16" spans="1:7" ht="14.85" thickBot="1">
      <c r="A16" s="83">
        <v>10</v>
      </c>
      <c r="B16" s="140" t="s">
        <v>200</v>
      </c>
      <c r="C16" s="141">
        <f>SUM(C8:C15)</f>
        <v>246000000</v>
      </c>
      <c r="D16" s="141">
        <f>SUM(D8:D15)</f>
        <v>6000000</v>
      </c>
      <c r="E16" s="194"/>
      <c r="G16" s="135"/>
    </row>
    <row r="17" spans="1:7" ht="25.45">
      <c r="A17" s="83">
        <v>11</v>
      </c>
      <c r="B17" s="130" t="s">
        <v>201</v>
      </c>
      <c r="C17" s="143" t="s">
        <v>189</v>
      </c>
      <c r="D17" s="131" t="s">
        <v>190</v>
      </c>
      <c r="E17" s="195" t="s">
        <v>191</v>
      </c>
      <c r="G17" s="135"/>
    </row>
    <row r="18" spans="1:7" ht="14.15">
      <c r="A18" s="83">
        <v>12</v>
      </c>
      <c r="B18" s="144"/>
      <c r="C18" s="10">
        <v>500000</v>
      </c>
      <c r="D18" s="10">
        <v>0</v>
      </c>
      <c r="E18" s="192"/>
    </row>
    <row r="19" spans="1:7" ht="14.15">
      <c r="A19" s="83">
        <v>13</v>
      </c>
      <c r="B19" s="144"/>
      <c r="C19" s="10"/>
      <c r="D19" s="10"/>
      <c r="E19" s="192"/>
    </row>
    <row r="20" spans="1:7" ht="14.85" thickBot="1">
      <c r="A20" s="83">
        <v>14</v>
      </c>
      <c r="B20" s="140" t="s">
        <v>202</v>
      </c>
      <c r="C20" s="141">
        <f>SUM(C18:C19)</f>
        <v>500000</v>
      </c>
      <c r="D20" s="142">
        <f>SUM(D18:D19)</f>
        <v>0</v>
      </c>
      <c r="E20" s="194"/>
    </row>
    <row r="21" spans="1:7" ht="25.45">
      <c r="A21" s="83">
        <v>15</v>
      </c>
      <c r="B21" s="130" t="s">
        <v>203</v>
      </c>
      <c r="C21" s="143" t="s">
        <v>189</v>
      </c>
      <c r="D21" s="131" t="s">
        <v>190</v>
      </c>
      <c r="E21" s="195" t="s">
        <v>191</v>
      </c>
    </row>
    <row r="22" spans="1:7" ht="14.15">
      <c r="A22" s="83">
        <v>16</v>
      </c>
      <c r="B22" s="144" t="s">
        <v>204</v>
      </c>
      <c r="C22" s="10">
        <f>4102000+5762960</f>
        <v>9864960</v>
      </c>
      <c r="D22" s="145">
        <v>5000000</v>
      </c>
      <c r="E22" s="192"/>
    </row>
    <row r="23" spans="1:7" ht="14.15">
      <c r="A23" s="83">
        <v>17</v>
      </c>
      <c r="B23" s="144"/>
      <c r="C23" s="10"/>
      <c r="D23" s="10"/>
      <c r="E23" s="192"/>
    </row>
    <row r="24" spans="1:7" ht="14.85" thickBot="1">
      <c r="A24" s="83">
        <v>18</v>
      </c>
      <c r="B24" s="140" t="s">
        <v>205</v>
      </c>
      <c r="C24" s="141">
        <f>SUM(C22:C23)</f>
        <v>9864960</v>
      </c>
      <c r="D24" s="141">
        <f>SUM(D22:D23)</f>
        <v>5000000</v>
      </c>
      <c r="E24" s="196"/>
    </row>
    <row r="25" spans="1:7" ht="25.45">
      <c r="A25" s="83">
        <v>19</v>
      </c>
      <c r="B25" s="146" t="s">
        <v>206</v>
      </c>
      <c r="C25" s="143" t="s">
        <v>189</v>
      </c>
      <c r="D25" s="131" t="s">
        <v>190</v>
      </c>
      <c r="E25" s="195" t="s">
        <v>191</v>
      </c>
    </row>
    <row r="26" spans="1:7" ht="14.15">
      <c r="A26" s="83">
        <v>20</v>
      </c>
      <c r="B26" s="144" t="s">
        <v>207</v>
      </c>
      <c r="C26" s="147">
        <v>14000000</v>
      </c>
      <c r="D26" s="10">
        <v>0</v>
      </c>
      <c r="E26" s="197"/>
    </row>
    <row r="27" spans="1:7" ht="14.15">
      <c r="A27" s="83">
        <v>21</v>
      </c>
      <c r="B27" s="144" t="s">
        <v>208</v>
      </c>
      <c r="C27" s="147">
        <v>49382000</v>
      </c>
      <c r="D27" s="10">
        <v>0</v>
      </c>
      <c r="E27" s="197"/>
    </row>
    <row r="28" spans="1:7" ht="14.85" thickBot="1">
      <c r="A28" s="83">
        <v>22</v>
      </c>
      <c r="B28" s="140" t="s">
        <v>209</v>
      </c>
      <c r="C28" s="141">
        <f>SUM(C26:C27)</f>
        <v>63382000</v>
      </c>
      <c r="D28" s="141">
        <f>SUM(D26:D27)</f>
        <v>0</v>
      </c>
      <c r="E28" s="196"/>
    </row>
    <row r="29" spans="1:7" ht="25.45">
      <c r="A29" s="83">
        <v>23</v>
      </c>
      <c r="B29" s="130" t="s">
        <v>210</v>
      </c>
      <c r="C29" s="143" t="s">
        <v>189</v>
      </c>
      <c r="D29" s="131" t="s">
        <v>190</v>
      </c>
      <c r="E29" s="195" t="s">
        <v>191</v>
      </c>
    </row>
    <row r="30" spans="1:7" ht="14.15">
      <c r="A30" s="83">
        <v>24</v>
      </c>
      <c r="B30" s="144" t="s">
        <v>211</v>
      </c>
      <c r="C30" s="10"/>
      <c r="D30" s="10"/>
      <c r="E30" s="192"/>
    </row>
    <row r="31" spans="1:7" ht="14.15">
      <c r="A31" s="83">
        <v>25</v>
      </c>
      <c r="B31" s="144" t="s">
        <v>212</v>
      </c>
      <c r="C31" s="10"/>
      <c r="D31" s="10"/>
      <c r="E31" s="192"/>
    </row>
    <row r="32" spans="1:7" ht="14.85" thickBot="1">
      <c r="A32" s="83">
        <v>26</v>
      </c>
      <c r="B32" s="140" t="s">
        <v>213</v>
      </c>
      <c r="C32" s="142">
        <f>SUM(C30:C31)</f>
        <v>0</v>
      </c>
      <c r="D32" s="142">
        <f>SUM(D30:D31)</f>
        <v>0</v>
      </c>
      <c r="E32" s="194"/>
    </row>
    <row r="33" spans="1:5" ht="26.3" customHeight="1">
      <c r="A33" s="83">
        <v>27</v>
      </c>
      <c r="B33" s="148" t="s">
        <v>214</v>
      </c>
      <c r="C33" s="209">
        <f>SUM(C16,C20,C24,C28,C32)</f>
        <v>319746960</v>
      </c>
      <c r="D33" s="209">
        <f>SUM(D16,D20,D24,D28,D32)</f>
        <v>11000000</v>
      </c>
      <c r="E33" s="198"/>
    </row>
    <row r="34" spans="1:5">
      <c r="B34" s="149"/>
      <c r="C34" s="149"/>
      <c r="D34" s="149"/>
      <c r="E34" s="199" t="s">
        <v>311</v>
      </c>
    </row>
    <row r="35" spans="1:5" ht="15.55">
      <c r="B35" s="150"/>
      <c r="C35" s="149"/>
      <c r="D35" s="149"/>
      <c r="E35" s="199"/>
    </row>
    <row r="36" spans="1:5">
      <c r="B36" s="151"/>
    </row>
  </sheetData>
  <mergeCells count="2">
    <mergeCell ref="B1:E1"/>
    <mergeCell ref="B3:E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75" zoomScaleSheetLayoutView="75" workbookViewId="0">
      <selection activeCell="D30" sqref="D30"/>
    </sheetView>
  </sheetViews>
  <sheetFormatPr defaultColWidth="9.125" defaultRowHeight="14.15"/>
  <cols>
    <col min="1" max="1" width="9.125" style="152" customWidth="1"/>
    <col min="2" max="2" width="48" style="152" customWidth="1"/>
    <col min="3" max="3" width="21.5" style="155" customWidth="1"/>
    <col min="4" max="4" width="21.625" style="155" customWidth="1"/>
    <col min="5" max="5" width="49.5" style="152" customWidth="1"/>
    <col min="6" max="6" width="20.125" style="155" customWidth="1"/>
    <col min="7" max="7" width="20.875" style="155" customWidth="1"/>
    <col min="8" max="8" width="20.625" style="152" customWidth="1"/>
    <col min="9" max="9" width="18" style="152" customWidth="1"/>
    <col min="10" max="16384" width="9.125" style="152"/>
  </cols>
  <sheetData>
    <row r="1" spans="1:7" ht="14.3" customHeight="1">
      <c r="B1" s="234" t="s">
        <v>298</v>
      </c>
      <c r="C1" s="234"/>
      <c r="D1" s="234"/>
      <c r="E1" s="234"/>
      <c r="F1" s="234"/>
      <c r="G1" s="234"/>
    </row>
    <row r="2" spans="1:7" ht="14.3" customHeight="1">
      <c r="B2" s="222"/>
      <c r="C2" s="222"/>
      <c r="D2" s="222"/>
      <c r="E2" s="222" t="s">
        <v>322</v>
      </c>
      <c r="F2" s="222"/>
      <c r="G2" s="222"/>
    </row>
    <row r="3" spans="1:7" ht="14.3" customHeight="1">
      <c r="B3" s="153"/>
      <c r="C3" s="153"/>
      <c r="D3" s="153"/>
      <c r="E3" s="235"/>
      <c r="F3" s="235"/>
      <c r="G3" s="235"/>
    </row>
    <row r="4" spans="1:7" ht="20.5">
      <c r="B4" s="154" t="s">
        <v>112</v>
      </c>
      <c r="E4" s="154"/>
    </row>
    <row r="5" spans="1:7">
      <c r="F5" s="155" t="s">
        <v>84</v>
      </c>
    </row>
    <row r="6" spans="1:7" ht="60.2" customHeight="1">
      <c r="B6" s="156" t="s">
        <v>0</v>
      </c>
      <c r="C6" s="157" t="s">
        <v>113</v>
      </c>
      <c r="D6" s="157" t="s">
        <v>114</v>
      </c>
      <c r="E6" s="157" t="s">
        <v>0</v>
      </c>
      <c r="F6" s="157" t="s">
        <v>113</v>
      </c>
      <c r="G6" s="157" t="s">
        <v>114</v>
      </c>
    </row>
    <row r="7" spans="1:7">
      <c r="B7" s="156" t="s">
        <v>5</v>
      </c>
      <c r="C7" s="157" t="s">
        <v>6</v>
      </c>
      <c r="D7" s="157" t="s">
        <v>7</v>
      </c>
      <c r="E7" s="156" t="s">
        <v>115</v>
      </c>
      <c r="F7" s="157" t="s">
        <v>9</v>
      </c>
      <c r="G7" s="157" t="s">
        <v>10</v>
      </c>
    </row>
    <row r="8" spans="1:7" ht="107.3" customHeight="1">
      <c r="A8" s="152">
        <v>1</v>
      </c>
      <c r="B8" s="158" t="s">
        <v>217</v>
      </c>
      <c r="C8" s="159">
        <f>'1 bevétel-kiadás'!K7</f>
        <v>257776722</v>
      </c>
      <c r="D8" s="159">
        <f>'1 bevétel-kiadás'!D7+'1 bevétel-kiadás'!F7+'1 bevétel-kiadás'!H7+'1 bevétel-kiadás'!J7</f>
        <v>278234273</v>
      </c>
      <c r="E8" s="160" t="s">
        <v>40</v>
      </c>
      <c r="F8" s="159">
        <f>'1 bevétel-kiadás'!K38</f>
        <v>212623585</v>
      </c>
      <c r="G8" s="159">
        <f>'1 bevétel-kiadás'!D38+'1 bevétel-kiadás'!F38+'1 bevétel-kiadás'!H38+'1 bevétel-kiadás'!J38</f>
        <v>229492426</v>
      </c>
    </row>
    <row r="9" spans="1:7" ht="44.5">
      <c r="A9" s="152">
        <v>2</v>
      </c>
      <c r="B9" s="158" t="s">
        <v>218</v>
      </c>
      <c r="C9" s="159">
        <f>'1 bevétel-kiadás'!K8</f>
        <v>240000000</v>
      </c>
      <c r="D9" s="159">
        <f>'1 bevétel-kiadás'!D8</f>
        <v>249846113</v>
      </c>
      <c r="E9" s="160" t="s">
        <v>41</v>
      </c>
      <c r="F9" s="159">
        <f>'1 bevétel-kiadás'!K39</f>
        <v>46141931</v>
      </c>
      <c r="G9" s="159">
        <f>'1 bevétel-kiadás'!D39+'1 bevétel-kiadás'!F39+'1 bevétel-kiadás'!H39+'1 bevétel-kiadás'!J39</f>
        <v>46632055</v>
      </c>
    </row>
    <row r="10" spans="1:7" ht="14.85">
      <c r="A10" s="152">
        <v>3</v>
      </c>
      <c r="B10" s="161" t="s">
        <v>18</v>
      </c>
      <c r="C10" s="159">
        <f>'1 bevétel-kiadás'!K9</f>
        <v>231700000</v>
      </c>
      <c r="D10" s="159">
        <f>'1 bevétel-kiadás'!D9</f>
        <v>238289434</v>
      </c>
      <c r="E10" s="160" t="s">
        <v>42</v>
      </c>
      <c r="F10" s="159">
        <f>'1 bevétel-kiadás'!K40</f>
        <v>234271389</v>
      </c>
      <c r="G10" s="159">
        <f>'1 bevétel-kiadás'!D40+'1 bevétel-kiadás'!F40+'1 bevétel-kiadás'!H40+'1 bevétel-kiadás'!J40</f>
        <v>356585763</v>
      </c>
    </row>
    <row r="11" spans="1:7" ht="29.65">
      <c r="A11" s="152">
        <v>4</v>
      </c>
      <c r="B11" s="161" t="s">
        <v>19</v>
      </c>
      <c r="C11" s="159">
        <f>'1 bevétel-kiadás'!K10</f>
        <v>0</v>
      </c>
      <c r="D11" s="159">
        <v>0</v>
      </c>
      <c r="E11" s="162" t="s">
        <v>116</v>
      </c>
      <c r="F11" s="163">
        <f>'1 bevétel-kiadás'!C41</f>
        <v>196420639</v>
      </c>
      <c r="G11" s="163">
        <f>'1 bevétel-kiadás'!D41</f>
        <v>219868863</v>
      </c>
    </row>
    <row r="12" spans="1:7" ht="14.85">
      <c r="A12" s="152">
        <v>5</v>
      </c>
      <c r="B12" s="161" t="s">
        <v>20</v>
      </c>
      <c r="C12" s="159">
        <f>'1 bevétel-kiadás'!K11</f>
        <v>1000000</v>
      </c>
      <c r="D12" s="159">
        <f>'1 bevétel-kiadás'!D11</f>
        <v>3718129</v>
      </c>
      <c r="E12" s="160" t="s">
        <v>44</v>
      </c>
      <c r="F12" s="159">
        <f>SUM(F13:F17)</f>
        <v>66317000</v>
      </c>
      <c r="G12" s="159">
        <f>SUM(G13:G17)</f>
        <v>82000451</v>
      </c>
    </row>
    <row r="13" spans="1:7">
      <c r="A13" s="152">
        <v>6</v>
      </c>
      <c r="B13" s="161" t="s">
        <v>72</v>
      </c>
      <c r="C13" s="159">
        <f>'1 bevétel-kiadás'!K12</f>
        <v>7300000</v>
      </c>
      <c r="D13" s="159">
        <f>'1 bevétel-kiadás'!D12</f>
        <v>7838550</v>
      </c>
      <c r="E13" s="164" t="s">
        <v>45</v>
      </c>
      <c r="F13" s="159">
        <f>'1 bevétel-kiadás'!K43</f>
        <v>4390000</v>
      </c>
      <c r="G13" s="159">
        <f>'1 bevétel-kiadás'!D43</f>
        <v>4024681</v>
      </c>
    </row>
    <row r="14" spans="1:7" ht="28.25">
      <c r="A14" s="152">
        <v>7</v>
      </c>
      <c r="B14" s="158" t="s">
        <v>22</v>
      </c>
      <c r="C14" s="159">
        <f>'1 bevétel-kiadás'!C14</f>
        <v>184575232</v>
      </c>
      <c r="D14" s="159">
        <f>'1 bevétel-kiadás'!D14</f>
        <v>214927032</v>
      </c>
      <c r="E14" s="165" t="s">
        <v>46</v>
      </c>
      <c r="F14" s="159">
        <f>'1 bevétel-kiadás'!K44</f>
        <v>0</v>
      </c>
      <c r="G14" s="159"/>
    </row>
    <row r="15" spans="1:7" ht="29.65">
      <c r="A15" s="152">
        <v>8</v>
      </c>
      <c r="B15" s="158" t="s">
        <v>23</v>
      </c>
      <c r="C15" s="159">
        <f>'1 bevétel-kiadás'!C15</f>
        <v>1800000</v>
      </c>
      <c r="D15" s="159">
        <f>'1 bevétel-kiadás'!D15</f>
        <v>14173883</v>
      </c>
      <c r="E15" s="164" t="s">
        <v>47</v>
      </c>
      <c r="F15" s="159">
        <f>'1 bevétel-kiadás'!C47</f>
        <v>61927000</v>
      </c>
      <c r="G15" s="159">
        <f>'1 bevétel-kiadás'!D47</f>
        <v>77081870</v>
      </c>
    </row>
    <row r="16" spans="1:7" ht="14.85">
      <c r="A16" s="152">
        <v>9</v>
      </c>
      <c r="B16" s="158" t="s">
        <v>24</v>
      </c>
      <c r="C16" s="159">
        <f>'1 bevétel-kiadás'!C16</f>
        <v>0</v>
      </c>
      <c r="D16" s="159">
        <f>'1 bevétel-kiadás'!D16</f>
        <v>0</v>
      </c>
      <c r="E16" s="164" t="s">
        <v>185</v>
      </c>
      <c r="F16" s="159">
        <f>'1 bevétel-kiadás'!K46</f>
        <v>0</v>
      </c>
      <c r="G16" s="159">
        <f>'1 bevétel-kiadás'!D45</f>
        <v>893900</v>
      </c>
    </row>
    <row r="17" spans="1:7" ht="29.65">
      <c r="A17" s="152">
        <v>10</v>
      </c>
      <c r="B17" s="158" t="s">
        <v>181</v>
      </c>
      <c r="C17" s="159">
        <f>'1 bevétel-kiadás'!C17</f>
        <v>0</v>
      </c>
      <c r="D17" s="159">
        <v>0</v>
      </c>
      <c r="E17" s="164" t="s">
        <v>184</v>
      </c>
      <c r="F17" s="159">
        <v>0</v>
      </c>
      <c r="G17" s="159">
        <f>'1 bevétel-kiadás'!D46</f>
        <v>0</v>
      </c>
    </row>
    <row r="18" spans="1:7" ht="29.65">
      <c r="A18" s="152">
        <v>11</v>
      </c>
      <c r="B18" s="167" t="s">
        <v>26</v>
      </c>
      <c r="C18" s="159">
        <f>C8+C9+C14+C15</f>
        <v>684151954</v>
      </c>
      <c r="D18" s="159">
        <f>D8+D9+D14+D15</f>
        <v>757181301</v>
      </c>
      <c r="E18" s="166" t="s">
        <v>147</v>
      </c>
      <c r="F18" s="159">
        <f>'1 bevétel-kiadás'!K48</f>
        <v>4200000</v>
      </c>
      <c r="G18" s="159">
        <f>'1 bevétel-kiadás'!D48</f>
        <v>3765000</v>
      </c>
    </row>
    <row r="19" spans="1:7" ht="29.65">
      <c r="A19" s="152">
        <v>12</v>
      </c>
      <c r="B19" s="158" t="s">
        <v>27</v>
      </c>
      <c r="C19" s="159">
        <f>'1 bevétel-kiadás'!C19</f>
        <v>31700000</v>
      </c>
      <c r="D19" s="159">
        <f>'1 bevétel-kiadás'!D19</f>
        <v>450989828</v>
      </c>
      <c r="E19" s="160" t="s">
        <v>48</v>
      </c>
      <c r="F19" s="210">
        <f>SUM(F20:F21)</f>
        <v>299596974</v>
      </c>
      <c r="G19" s="210">
        <f>SUM(G20:G21)</f>
        <v>606578121</v>
      </c>
    </row>
    <row r="20" spans="1:7" ht="29.65">
      <c r="A20" s="152">
        <v>13</v>
      </c>
      <c r="B20" s="158" t="s">
        <v>28</v>
      </c>
      <c r="C20" s="159">
        <f>'1 bevétel-kiadás'!C20</f>
        <v>10000000</v>
      </c>
      <c r="D20" s="159">
        <f>'1 bevétel-kiadás'!D20</f>
        <v>4351576</v>
      </c>
      <c r="E20" s="165" t="s">
        <v>49</v>
      </c>
      <c r="F20" s="159">
        <f>'1 bevétel-kiadás'!K50</f>
        <v>50096974</v>
      </c>
      <c r="G20" s="159">
        <f>'1 bevétel-kiadás'!D50</f>
        <v>606578121</v>
      </c>
    </row>
    <row r="21" spans="1:7" ht="44.5">
      <c r="A21" s="152">
        <v>14</v>
      </c>
      <c r="B21" s="158" t="s">
        <v>29</v>
      </c>
      <c r="C21" s="159">
        <f>'1 bevétel-kiadás'!C21</f>
        <v>15354331</v>
      </c>
      <c r="D21" s="159">
        <f>'1 bevétel-kiadás'!D21</f>
        <v>2060000</v>
      </c>
      <c r="E21" s="165" t="s">
        <v>50</v>
      </c>
      <c r="F21" s="159">
        <f>'1 bevétel-kiadás'!K51</f>
        <v>249500000</v>
      </c>
      <c r="G21" s="159">
        <f>'1 bevétel-kiadás'!D51</f>
        <v>0</v>
      </c>
    </row>
    <row r="22" spans="1:7" ht="29.65">
      <c r="A22" s="152">
        <v>15</v>
      </c>
      <c r="B22" s="158" t="s">
        <v>30</v>
      </c>
      <c r="C22" s="159">
        <f>'1 bevétel-kiadás'!C22</f>
        <v>0</v>
      </c>
      <c r="D22" s="159">
        <v>0</v>
      </c>
      <c r="E22" s="168" t="s">
        <v>117</v>
      </c>
      <c r="F22" s="159">
        <f>F19+F12+F10+F9+F8+F18</f>
        <v>863150879</v>
      </c>
      <c r="G22" s="159">
        <f>G19+G12+G10+G9+G8+G18</f>
        <v>1325053816</v>
      </c>
    </row>
    <row r="23" spans="1:7" ht="14.85">
      <c r="A23" s="152">
        <v>16</v>
      </c>
      <c r="B23" s="167" t="s">
        <v>32</v>
      </c>
      <c r="C23" s="159">
        <f>SUM(C19:C22)</f>
        <v>57054331</v>
      </c>
      <c r="D23" s="159">
        <f>SUM(D19:D22)</f>
        <v>457401404</v>
      </c>
      <c r="E23" s="166" t="s">
        <v>52</v>
      </c>
      <c r="F23" s="159">
        <f>'1 bevétel-kiadás'!K53</f>
        <v>243749000</v>
      </c>
      <c r="G23" s="159">
        <f>'1 bevétel-kiadás'!D53</f>
        <v>170596319</v>
      </c>
    </row>
    <row r="24" spans="1:7" ht="14.85">
      <c r="A24" s="152">
        <v>17</v>
      </c>
      <c r="B24" s="171" t="s">
        <v>119</v>
      </c>
      <c r="C24" s="159">
        <f>C23+C18</f>
        <v>741206285</v>
      </c>
      <c r="D24" s="159">
        <f>D23+D18</f>
        <v>1214582705</v>
      </c>
      <c r="E24" s="166" t="s">
        <v>53</v>
      </c>
      <c r="F24" s="159">
        <f>'1 bevétel-kiadás'!K54</f>
        <v>1270000</v>
      </c>
      <c r="G24" s="159">
        <f>'1 bevétel-kiadás'!D54</f>
        <v>1260400</v>
      </c>
    </row>
    <row r="25" spans="1:7" ht="44.5">
      <c r="A25" s="152">
        <v>18</v>
      </c>
      <c r="B25" s="172" t="s">
        <v>34</v>
      </c>
      <c r="C25" s="159">
        <f>'1 bevétel-kiadás'!K26</f>
        <v>374094956</v>
      </c>
      <c r="D25" s="159">
        <f>'1 bevétel-kiadás'!L26</f>
        <v>373678260</v>
      </c>
      <c r="E25" s="169" t="s">
        <v>297</v>
      </c>
      <c r="F25" s="159"/>
      <c r="G25" s="159">
        <f>'1 bevétel-kiadás'!D56</f>
        <v>86803795</v>
      </c>
    </row>
    <row r="26" spans="1:7" ht="28.25">
      <c r="A26" s="152">
        <v>19</v>
      </c>
      <c r="B26" s="172" t="s">
        <v>35</v>
      </c>
      <c r="C26" s="159">
        <v>0</v>
      </c>
      <c r="D26" s="159">
        <f>'1 bevétel-kiadás'!D27</f>
        <v>8427392</v>
      </c>
      <c r="E26" s="170" t="s">
        <v>56</v>
      </c>
      <c r="F26" s="159"/>
      <c r="G26" s="159">
        <f>'1 bevétel-kiadás'!D58</f>
        <v>4857030</v>
      </c>
    </row>
    <row r="27" spans="1:7">
      <c r="A27" s="152">
        <v>20</v>
      </c>
      <c r="B27" s="174" t="s">
        <v>121</v>
      </c>
      <c r="C27" s="159">
        <f>C24+C26+C25</f>
        <v>1115301241</v>
      </c>
      <c r="D27" s="159">
        <f>D24+D26+D25</f>
        <v>1596688357</v>
      </c>
      <c r="E27" s="168" t="s">
        <v>118</v>
      </c>
      <c r="F27" s="159">
        <f>F24+F23</f>
        <v>245019000</v>
      </c>
      <c r="G27" s="159">
        <f>G24+G23+G25+G26</f>
        <v>263517544</v>
      </c>
    </row>
    <row r="28" spans="1:7">
      <c r="A28" s="152">
        <v>21</v>
      </c>
      <c r="E28" s="171" t="s">
        <v>120</v>
      </c>
      <c r="F28" s="159">
        <f>F22+F27</f>
        <v>1108169879</v>
      </c>
      <c r="G28" s="159">
        <f>G22+G27</f>
        <v>1588571360</v>
      </c>
    </row>
    <row r="29" spans="1:7" ht="14.85">
      <c r="A29" s="152">
        <v>22</v>
      </c>
      <c r="E29" s="172" t="s">
        <v>59</v>
      </c>
      <c r="F29" s="159">
        <f>'1 bevétel-kiadás'!C61</f>
        <v>7131362</v>
      </c>
      <c r="G29" s="159">
        <f>'1 bevétel-kiadás'!D61</f>
        <v>8116997</v>
      </c>
    </row>
    <row r="30" spans="1:7">
      <c r="A30" s="152">
        <v>23</v>
      </c>
      <c r="E30" s="173" t="s">
        <v>122</v>
      </c>
      <c r="F30" s="159">
        <f>F29+F28</f>
        <v>1115301241</v>
      </c>
      <c r="G30" s="159">
        <f>G29+G28</f>
        <v>1596688357</v>
      </c>
    </row>
    <row r="31" spans="1:7" ht="9" customHeight="1">
      <c r="G31" s="155" t="s">
        <v>311</v>
      </c>
    </row>
    <row r="32" spans="1:7" ht="54" customHeight="1"/>
    <row r="40" ht="68.3" customHeight="1"/>
    <row r="46" ht="97.6" customHeight="1"/>
  </sheetData>
  <mergeCells count="2">
    <mergeCell ref="B1:G1"/>
    <mergeCell ref="E3:G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4"/>
  <sheetViews>
    <sheetView topLeftCell="B4" workbookViewId="0">
      <selection activeCell="N18" sqref="N18"/>
    </sheetView>
  </sheetViews>
  <sheetFormatPr defaultColWidth="9.125" defaultRowHeight="12.7"/>
  <cols>
    <col min="1" max="1" width="4.875" style="1" customWidth="1"/>
    <col min="2" max="2" width="34.625" style="1" customWidth="1"/>
    <col min="3" max="3" width="9.625" style="1" customWidth="1"/>
    <col min="4" max="14" width="9.125" style="1" customWidth="1"/>
    <col min="15" max="15" width="12.625" style="1" customWidth="1"/>
    <col min="16" max="16384" width="9.125" style="1"/>
  </cols>
  <sheetData>
    <row r="2" spans="1:15">
      <c r="B2" s="229" t="s">
        <v>309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>
      <c r="B3" s="224"/>
      <c r="C3" s="224"/>
      <c r="D3" s="224"/>
      <c r="E3" s="224"/>
      <c r="F3" s="224"/>
      <c r="G3" s="224"/>
      <c r="H3" s="224"/>
      <c r="I3" s="224"/>
      <c r="J3" s="224"/>
      <c r="K3" s="224" t="s">
        <v>321</v>
      </c>
      <c r="L3" s="224"/>
      <c r="M3" s="224"/>
      <c r="N3" s="224"/>
      <c r="O3" s="224"/>
    </row>
    <row r="4" spans="1:15"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5.55">
      <c r="B5" s="175" t="s">
        <v>135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" t="s">
        <v>84</v>
      </c>
    </row>
    <row r="7" spans="1:15" ht="15.55">
      <c r="B7" s="176" t="s">
        <v>0</v>
      </c>
      <c r="C7" s="177" t="s">
        <v>123</v>
      </c>
      <c r="D7" s="177" t="s">
        <v>124</v>
      </c>
      <c r="E7" s="177" t="s">
        <v>125</v>
      </c>
      <c r="F7" s="177" t="s">
        <v>126</v>
      </c>
      <c r="G7" s="177" t="s">
        <v>127</v>
      </c>
      <c r="H7" s="177" t="s">
        <v>128</v>
      </c>
      <c r="I7" s="177" t="s">
        <v>129</v>
      </c>
      <c r="J7" s="177" t="s">
        <v>130</v>
      </c>
      <c r="K7" s="177" t="s">
        <v>131</v>
      </c>
      <c r="L7" s="177" t="s">
        <v>132</v>
      </c>
      <c r="M7" s="177" t="s">
        <v>133</v>
      </c>
      <c r="N7" s="177" t="s">
        <v>134</v>
      </c>
      <c r="O7" s="178" t="s">
        <v>92</v>
      </c>
    </row>
    <row r="8" spans="1:15" ht="14.15">
      <c r="B8" s="179" t="s">
        <v>5</v>
      </c>
      <c r="C8" s="180" t="s">
        <v>6</v>
      </c>
      <c r="D8" s="180" t="s">
        <v>7</v>
      </c>
      <c r="E8" s="180" t="s">
        <v>8</v>
      </c>
      <c r="F8" s="180" t="s">
        <v>9</v>
      </c>
      <c r="G8" s="180" t="s">
        <v>10</v>
      </c>
      <c r="H8" s="180" t="s">
        <v>11</v>
      </c>
      <c r="I8" s="180" t="s">
        <v>12</v>
      </c>
      <c r="J8" s="180" t="s">
        <v>13</v>
      </c>
      <c r="K8" s="180" t="s">
        <v>14</v>
      </c>
      <c r="L8" s="180" t="s">
        <v>15</v>
      </c>
      <c r="M8" s="180" t="s">
        <v>16</v>
      </c>
      <c r="N8" s="180" t="s">
        <v>17</v>
      </c>
      <c r="O8" s="180" t="s">
        <v>73</v>
      </c>
    </row>
    <row r="9" spans="1:15">
      <c r="A9" s="1">
        <v>1</v>
      </c>
      <c r="B9" s="181" t="s">
        <v>136</v>
      </c>
      <c r="C9" s="182">
        <f>$O$9/12</f>
        <v>96069895.666666672</v>
      </c>
      <c r="D9" s="182">
        <f t="shared" ref="D9:N9" si="0">$O$9/12</f>
        <v>96069895.666666672</v>
      </c>
      <c r="E9" s="182">
        <f t="shared" si="0"/>
        <v>96069895.666666672</v>
      </c>
      <c r="F9" s="182">
        <f t="shared" si="0"/>
        <v>96069895.666666672</v>
      </c>
      <c r="G9" s="182">
        <f t="shared" si="0"/>
        <v>96069895.666666672</v>
      </c>
      <c r="H9" s="182">
        <f t="shared" si="0"/>
        <v>96069895.666666672</v>
      </c>
      <c r="I9" s="182">
        <f t="shared" si="0"/>
        <v>96069895.666666672</v>
      </c>
      <c r="J9" s="182">
        <f t="shared" si="0"/>
        <v>96069895.666666672</v>
      </c>
      <c r="K9" s="182">
        <f t="shared" si="0"/>
        <v>96069895.666666672</v>
      </c>
      <c r="L9" s="182">
        <f t="shared" si="0"/>
        <v>96069895.666666672</v>
      </c>
      <c r="M9" s="182">
        <f t="shared" si="0"/>
        <v>96069895.666666672</v>
      </c>
      <c r="N9" s="182">
        <f t="shared" si="0"/>
        <v>96069895.666666672</v>
      </c>
      <c r="O9" s="183">
        <f>'1 bevétel-kiadás'!D28</f>
        <v>1152838748</v>
      </c>
    </row>
    <row r="10" spans="1:15">
      <c r="A10" s="1">
        <v>2</v>
      </c>
      <c r="B10" s="181" t="s">
        <v>137</v>
      </c>
      <c r="C10" s="182">
        <f>58583/12</f>
        <v>4881.916666666667</v>
      </c>
      <c r="D10" s="182">
        <f t="shared" ref="D10:N10" si="1">58583/12</f>
        <v>4881.916666666667</v>
      </c>
      <c r="E10" s="182">
        <f t="shared" si="1"/>
        <v>4881.916666666667</v>
      </c>
      <c r="F10" s="182">
        <f t="shared" si="1"/>
        <v>4881.916666666667</v>
      </c>
      <c r="G10" s="182">
        <f t="shared" si="1"/>
        <v>4881.916666666667</v>
      </c>
      <c r="H10" s="182">
        <f t="shared" si="1"/>
        <v>4881.916666666667</v>
      </c>
      <c r="I10" s="182">
        <f t="shared" si="1"/>
        <v>4881.916666666667</v>
      </c>
      <c r="J10" s="182">
        <f t="shared" si="1"/>
        <v>4881.916666666667</v>
      </c>
      <c r="K10" s="182">
        <f t="shared" si="1"/>
        <v>4881.916666666667</v>
      </c>
      <c r="L10" s="182">
        <f t="shared" si="1"/>
        <v>4881.916666666667</v>
      </c>
      <c r="M10" s="182">
        <f t="shared" si="1"/>
        <v>4881.916666666667</v>
      </c>
      <c r="N10" s="182">
        <f t="shared" si="1"/>
        <v>4881.916666666667</v>
      </c>
      <c r="O10" s="183">
        <f>'1 bevétel-kiadás'!F28</f>
        <v>72707149</v>
      </c>
    </row>
    <row r="11" spans="1:15" ht="25.45">
      <c r="A11" s="1">
        <v>3</v>
      </c>
      <c r="B11" s="181" t="s">
        <v>138</v>
      </c>
      <c r="C11" s="182">
        <f>$O$11/12</f>
        <v>20541364.333333332</v>
      </c>
      <c r="D11" s="182">
        <f t="shared" ref="D11:N11" si="2">$O$11/12</f>
        <v>20541364.333333332</v>
      </c>
      <c r="E11" s="182">
        <f t="shared" si="2"/>
        <v>20541364.333333332</v>
      </c>
      <c r="F11" s="182">
        <f t="shared" si="2"/>
        <v>20541364.333333332</v>
      </c>
      <c r="G11" s="182">
        <f t="shared" si="2"/>
        <v>20541364.333333332</v>
      </c>
      <c r="H11" s="182">
        <f>$O$11/12</f>
        <v>20541364.333333332</v>
      </c>
      <c r="I11" s="182">
        <f t="shared" si="2"/>
        <v>20541364.333333332</v>
      </c>
      <c r="J11" s="182">
        <f t="shared" si="2"/>
        <v>20541364.333333332</v>
      </c>
      <c r="K11" s="182">
        <f t="shared" si="2"/>
        <v>20541364.333333332</v>
      </c>
      <c r="L11" s="182">
        <f t="shared" si="2"/>
        <v>20541364.333333332</v>
      </c>
      <c r="M11" s="182">
        <f t="shared" si="2"/>
        <v>20541364.333333332</v>
      </c>
      <c r="N11" s="182">
        <f t="shared" si="2"/>
        <v>20541364.333333332</v>
      </c>
      <c r="O11" s="183">
        <f>'1 bevétel-kiadás'!H28</f>
        <v>246496372</v>
      </c>
    </row>
    <row r="12" spans="1:15">
      <c r="A12" s="1">
        <v>4</v>
      </c>
      <c r="B12" s="181" t="s">
        <v>261</v>
      </c>
      <c r="C12" s="182">
        <f>68700/12</f>
        <v>5725</v>
      </c>
      <c r="D12" s="182">
        <f t="shared" ref="D12:N12" si="3">68700/12</f>
        <v>5725</v>
      </c>
      <c r="E12" s="182">
        <f t="shared" si="3"/>
        <v>5725</v>
      </c>
      <c r="F12" s="182">
        <f t="shared" si="3"/>
        <v>5725</v>
      </c>
      <c r="G12" s="182">
        <f t="shared" si="3"/>
        <v>5725</v>
      </c>
      <c r="H12" s="182">
        <f t="shared" si="3"/>
        <v>5725</v>
      </c>
      <c r="I12" s="182">
        <f t="shared" si="3"/>
        <v>5725</v>
      </c>
      <c r="J12" s="182">
        <f t="shared" si="3"/>
        <v>5725</v>
      </c>
      <c r="K12" s="182">
        <f t="shared" si="3"/>
        <v>5725</v>
      </c>
      <c r="L12" s="182">
        <f t="shared" si="3"/>
        <v>5725</v>
      </c>
      <c r="M12" s="182">
        <f t="shared" si="3"/>
        <v>5725</v>
      </c>
      <c r="N12" s="182">
        <f t="shared" si="3"/>
        <v>5725</v>
      </c>
      <c r="O12" s="183">
        <f>'1 bevétel-kiadás'!J28</f>
        <v>124646088</v>
      </c>
    </row>
    <row r="13" spans="1:15">
      <c r="A13" s="1">
        <v>5</v>
      </c>
      <c r="B13" s="184" t="s">
        <v>139</v>
      </c>
      <c r="C13" s="185">
        <f>SUM(C9:C12)</f>
        <v>116621866.91666667</v>
      </c>
      <c r="D13" s="185">
        <f t="shared" ref="D13:N13" si="4">SUM(D9:D12)</f>
        <v>116621866.91666667</v>
      </c>
      <c r="E13" s="185">
        <f t="shared" si="4"/>
        <v>116621866.91666667</v>
      </c>
      <c r="F13" s="185">
        <f t="shared" si="4"/>
        <v>116621866.91666667</v>
      </c>
      <c r="G13" s="185">
        <f t="shared" si="4"/>
        <v>116621866.91666667</v>
      </c>
      <c r="H13" s="185">
        <f t="shared" si="4"/>
        <v>116621866.91666667</v>
      </c>
      <c r="I13" s="185">
        <f t="shared" si="4"/>
        <v>116621866.91666667</v>
      </c>
      <c r="J13" s="185">
        <f t="shared" si="4"/>
        <v>116621866.91666667</v>
      </c>
      <c r="K13" s="185">
        <f t="shared" si="4"/>
        <v>116621866.91666667</v>
      </c>
      <c r="L13" s="185">
        <f t="shared" si="4"/>
        <v>116621866.91666667</v>
      </c>
      <c r="M13" s="185">
        <f t="shared" si="4"/>
        <v>116621866.91666667</v>
      </c>
      <c r="N13" s="185">
        <f t="shared" si="4"/>
        <v>116621866.91666667</v>
      </c>
      <c r="O13" s="185">
        <f>SUM(O9:O12)</f>
        <v>1596688357</v>
      </c>
    </row>
    <row r="14" spans="1:15">
      <c r="O14" s="1" t="s">
        <v>311</v>
      </c>
    </row>
  </sheetData>
  <mergeCells count="2">
    <mergeCell ref="B2:O2"/>
    <mergeCell ref="G4:O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zoomScale="75" workbookViewId="0">
      <selection activeCell="B22" sqref="B22"/>
    </sheetView>
  </sheetViews>
  <sheetFormatPr defaultColWidth="9.125" defaultRowHeight="12.7"/>
  <cols>
    <col min="1" max="1" width="9.125" style="1"/>
    <col min="2" max="2" width="51.125" style="1" customWidth="1"/>
    <col min="3" max="4" width="18.125" style="1" customWidth="1"/>
    <col min="5" max="5" width="19" style="1" customWidth="1"/>
    <col min="6" max="6" width="17.5" style="1" customWidth="1"/>
    <col min="7" max="7" width="19" style="1" customWidth="1"/>
    <col min="8" max="8" width="17.5" style="1" customWidth="1"/>
    <col min="9" max="16384" width="9.125" style="1"/>
  </cols>
  <sheetData>
    <row r="1" spans="1:19">
      <c r="B1" s="228" t="s">
        <v>300</v>
      </c>
      <c r="C1" s="228"/>
      <c r="D1" s="228"/>
      <c r="E1" s="228"/>
      <c r="F1" s="228"/>
      <c r="G1" s="228"/>
      <c r="H1" s="228"/>
      <c r="I1" s="228"/>
      <c r="J1" s="228"/>
    </row>
    <row r="2" spans="1:19">
      <c r="B2" s="223"/>
      <c r="C2" s="223"/>
      <c r="D2" s="223" t="s">
        <v>312</v>
      </c>
      <c r="E2" s="223"/>
      <c r="F2" s="223"/>
      <c r="G2" s="223"/>
      <c r="H2" s="223"/>
      <c r="I2" s="223"/>
      <c r="J2" s="223"/>
    </row>
    <row r="3" spans="1:19" ht="20.5">
      <c r="B3" s="43" t="s">
        <v>81</v>
      </c>
      <c r="E3" s="227"/>
      <c r="F3" s="227"/>
      <c r="G3" s="227"/>
      <c r="H3" s="227"/>
    </row>
    <row r="4" spans="1:19">
      <c r="D4" s="1" t="s">
        <v>84</v>
      </c>
    </row>
    <row r="5" spans="1:19" ht="50.85">
      <c r="B5" s="44" t="s">
        <v>0</v>
      </c>
      <c r="C5" s="45" t="s">
        <v>1</v>
      </c>
      <c r="D5" s="45" t="s">
        <v>75</v>
      </c>
      <c r="E5" s="45" t="s">
        <v>67</v>
      </c>
      <c r="F5" s="45" t="s">
        <v>68</v>
      </c>
      <c r="G5" s="45" t="s">
        <v>70</v>
      </c>
      <c r="H5" s="45" t="s">
        <v>71</v>
      </c>
    </row>
    <row r="6" spans="1:19" ht="14.15">
      <c r="B6" s="46" t="s">
        <v>5</v>
      </c>
      <c r="C6" s="47" t="s">
        <v>6</v>
      </c>
      <c r="D6" s="47" t="s">
        <v>7</v>
      </c>
      <c r="E6" s="47" t="s">
        <v>8</v>
      </c>
      <c r="F6" s="47" t="s">
        <v>77</v>
      </c>
      <c r="G6" s="47" t="s">
        <v>10</v>
      </c>
      <c r="H6" s="47" t="s">
        <v>11</v>
      </c>
    </row>
    <row r="7" spans="1:19" ht="16.25">
      <c r="A7" s="1">
        <v>1</v>
      </c>
      <c r="B7" s="48" t="s">
        <v>162</v>
      </c>
      <c r="C7" s="49">
        <v>84000000</v>
      </c>
      <c r="D7" s="49">
        <v>87051339</v>
      </c>
      <c r="E7" s="49">
        <f>C7</f>
        <v>84000000</v>
      </c>
      <c r="F7" s="49"/>
      <c r="G7" s="49">
        <f>D7</f>
        <v>87051339</v>
      </c>
      <c r="H7" s="49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6.25">
      <c r="A8" s="1">
        <v>2</v>
      </c>
      <c r="B8" s="48" t="s">
        <v>163</v>
      </c>
      <c r="C8" s="49">
        <v>44500000</v>
      </c>
      <c r="D8" s="49">
        <v>30414279</v>
      </c>
      <c r="E8" s="49">
        <f t="shared" ref="E8:E14" si="0">C8</f>
        <v>44500000</v>
      </c>
      <c r="F8" s="49"/>
      <c r="G8" s="49">
        <f t="shared" ref="G8:G14" si="1">D8</f>
        <v>30414279</v>
      </c>
      <c r="H8" s="49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6.25">
      <c r="A9" s="1">
        <v>3</v>
      </c>
      <c r="B9" s="48" t="s">
        <v>164</v>
      </c>
      <c r="C9" s="49">
        <v>39700000</v>
      </c>
      <c r="D9" s="49">
        <v>49314316</v>
      </c>
      <c r="E9" s="49">
        <f t="shared" si="0"/>
        <v>39700000</v>
      </c>
      <c r="F9" s="49"/>
      <c r="G9" s="49">
        <f t="shared" si="1"/>
        <v>49314316</v>
      </c>
      <c r="H9" s="49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25">
      <c r="A10" s="1">
        <v>4</v>
      </c>
      <c r="B10" s="48" t="s">
        <v>221</v>
      </c>
      <c r="C10" s="49">
        <v>7300000</v>
      </c>
      <c r="D10" s="49">
        <v>7838550</v>
      </c>
      <c r="E10" s="49">
        <f t="shared" si="0"/>
        <v>7300000</v>
      </c>
      <c r="F10" s="49"/>
      <c r="G10" s="49">
        <f t="shared" si="1"/>
        <v>7838550</v>
      </c>
      <c r="H10" s="4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6.25">
      <c r="A11" s="1">
        <v>5</v>
      </c>
      <c r="B11" s="48" t="s">
        <v>140</v>
      </c>
      <c r="C11" s="49">
        <v>0</v>
      </c>
      <c r="D11" s="49">
        <v>2236113</v>
      </c>
      <c r="E11" s="49">
        <f t="shared" si="0"/>
        <v>0</v>
      </c>
      <c r="F11" s="49"/>
      <c r="G11" s="49">
        <f t="shared" si="1"/>
        <v>2236113</v>
      </c>
      <c r="H11" s="4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6.25">
      <c r="A12" s="1">
        <v>6</v>
      </c>
      <c r="B12" s="48" t="s">
        <v>165</v>
      </c>
      <c r="C12" s="49">
        <v>0</v>
      </c>
      <c r="D12" s="49">
        <v>0</v>
      </c>
      <c r="E12" s="49">
        <f t="shared" si="0"/>
        <v>0</v>
      </c>
      <c r="F12" s="49"/>
      <c r="G12" s="49">
        <f t="shared" si="1"/>
        <v>0</v>
      </c>
      <c r="H12" s="4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6.25">
      <c r="A13" s="1">
        <v>7</v>
      </c>
      <c r="B13" s="48" t="s">
        <v>166</v>
      </c>
      <c r="C13" s="49">
        <v>63500000</v>
      </c>
      <c r="D13" s="49">
        <v>69273387</v>
      </c>
      <c r="E13" s="49">
        <f t="shared" si="0"/>
        <v>63500000</v>
      </c>
      <c r="F13" s="49"/>
      <c r="G13" s="49">
        <f t="shared" si="1"/>
        <v>69273387</v>
      </c>
      <c r="H13" s="4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7.2" customHeight="1">
      <c r="A14" s="1">
        <v>8</v>
      </c>
      <c r="B14" s="48" t="s">
        <v>167</v>
      </c>
      <c r="C14" s="49">
        <v>1000000</v>
      </c>
      <c r="D14" s="49">
        <v>3718129</v>
      </c>
      <c r="E14" s="49">
        <f t="shared" si="0"/>
        <v>1000000</v>
      </c>
      <c r="F14" s="49"/>
      <c r="G14" s="49">
        <f t="shared" si="1"/>
        <v>3718129</v>
      </c>
      <c r="H14" s="4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5.55">
      <c r="A15" s="1">
        <v>9</v>
      </c>
      <c r="B15" s="50" t="s">
        <v>76</v>
      </c>
      <c r="C15" s="51">
        <f t="shared" ref="C15:H15" si="2">SUM(C7:C14)</f>
        <v>240000000</v>
      </c>
      <c r="D15" s="51">
        <f>SUM(D7:D14)</f>
        <v>249846113</v>
      </c>
      <c r="E15" s="51">
        <f t="shared" si="2"/>
        <v>240000000</v>
      </c>
      <c r="F15" s="51">
        <f t="shared" si="2"/>
        <v>0</v>
      </c>
      <c r="G15" s="51">
        <f t="shared" si="2"/>
        <v>249846113</v>
      </c>
      <c r="H15" s="51">
        <f t="shared" si="2"/>
        <v>0</v>
      </c>
    </row>
    <row r="16" spans="1:19">
      <c r="H16" s="1" t="s">
        <v>311</v>
      </c>
    </row>
  </sheetData>
  <mergeCells count="2">
    <mergeCell ref="E3:H3"/>
    <mergeCell ref="B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2"/>
  <sheetViews>
    <sheetView zoomScale="75" zoomScaleNormal="75" workbookViewId="0">
      <selection activeCell="H32" sqref="H32"/>
    </sheetView>
  </sheetViews>
  <sheetFormatPr defaultColWidth="9.125" defaultRowHeight="12.7"/>
  <cols>
    <col min="1" max="1" width="9.125" style="1" customWidth="1"/>
    <col min="2" max="2" width="71.5" style="1" customWidth="1"/>
    <col min="3" max="3" width="18.875" style="1" customWidth="1"/>
    <col min="4" max="4" width="19.375" style="1" customWidth="1"/>
    <col min="5" max="5" width="21.875" style="1" customWidth="1"/>
    <col min="6" max="6" width="21" style="1" customWidth="1"/>
    <col min="7" max="7" width="19.625" style="1" customWidth="1"/>
    <col min="8" max="8" width="21" style="1" customWidth="1"/>
    <col min="9" max="16384" width="9.125" style="1"/>
  </cols>
  <sheetData>
    <row r="1" spans="1:26">
      <c r="A1" s="229" t="s">
        <v>301</v>
      </c>
      <c r="B1" s="229"/>
      <c r="C1" s="229"/>
      <c r="D1" s="229"/>
      <c r="E1" s="229"/>
      <c r="F1" s="229"/>
      <c r="G1" s="229"/>
      <c r="H1" s="229"/>
    </row>
    <row r="2" spans="1:26">
      <c r="A2" s="224"/>
      <c r="B2" s="224"/>
      <c r="C2" s="224"/>
      <c r="D2" s="224"/>
      <c r="E2" s="224"/>
      <c r="F2" s="224" t="s">
        <v>313</v>
      </c>
      <c r="G2" s="224"/>
      <c r="H2" s="224"/>
    </row>
    <row r="3" spans="1:26" ht="20.5">
      <c r="B3" s="43" t="s">
        <v>161</v>
      </c>
      <c r="E3" s="230"/>
      <c r="F3" s="230"/>
      <c r="G3" s="230"/>
      <c r="H3" s="230"/>
    </row>
    <row r="4" spans="1:26">
      <c r="G4" s="1" t="s">
        <v>84</v>
      </c>
    </row>
    <row r="5" spans="1:26" ht="59.3">
      <c r="B5" s="53" t="s">
        <v>0</v>
      </c>
      <c r="C5" s="47" t="s">
        <v>1</v>
      </c>
      <c r="D5" s="47" t="s">
        <v>63</v>
      </c>
      <c r="E5" s="54" t="s">
        <v>67</v>
      </c>
      <c r="F5" s="54" t="s">
        <v>68</v>
      </c>
      <c r="G5" s="54" t="s">
        <v>70</v>
      </c>
      <c r="H5" s="54" t="s">
        <v>71</v>
      </c>
      <c r="J5" s="3"/>
    </row>
    <row r="6" spans="1:26" ht="14.15">
      <c r="B6" s="47" t="s">
        <v>5</v>
      </c>
      <c r="C6" s="47" t="s">
        <v>6</v>
      </c>
      <c r="D6" s="47" t="s">
        <v>7</v>
      </c>
      <c r="E6" s="47" t="s">
        <v>8</v>
      </c>
      <c r="F6" s="47" t="s">
        <v>77</v>
      </c>
      <c r="G6" s="47" t="s">
        <v>10</v>
      </c>
      <c r="H6" s="47" t="s">
        <v>11</v>
      </c>
    </row>
    <row r="7" spans="1:26" ht="16.25">
      <c r="A7" s="1">
        <v>1</v>
      </c>
      <c r="B7" s="67" t="s">
        <v>222</v>
      </c>
      <c r="C7" s="55">
        <v>0</v>
      </c>
      <c r="D7" s="55">
        <v>24000</v>
      </c>
      <c r="E7" s="56">
        <f t="shared" ref="E7:E13" si="0">C7</f>
        <v>0</v>
      </c>
      <c r="F7" s="56"/>
      <c r="G7" s="56">
        <f t="shared" ref="G7:G16" si="1">D7</f>
        <v>24000</v>
      </c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16.25">
      <c r="A8" s="1">
        <v>2</v>
      </c>
      <c r="B8" s="66" t="s">
        <v>158</v>
      </c>
      <c r="C8" s="55">
        <v>0</v>
      </c>
      <c r="D8" s="55">
        <v>4506400</v>
      </c>
      <c r="E8" s="56">
        <f t="shared" si="0"/>
        <v>0</v>
      </c>
      <c r="F8" s="56"/>
      <c r="G8" s="56">
        <f t="shared" si="1"/>
        <v>4506400</v>
      </c>
      <c r="H8" s="56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6.25">
      <c r="A9" s="1">
        <v>3</v>
      </c>
      <c r="B9" s="66" t="s">
        <v>159</v>
      </c>
      <c r="C9" s="56">
        <v>0</v>
      </c>
      <c r="D9" s="56">
        <f>2239592-450000</f>
        <v>1789592</v>
      </c>
      <c r="E9" s="56">
        <f t="shared" si="0"/>
        <v>0</v>
      </c>
      <c r="F9" s="56"/>
      <c r="G9" s="56">
        <f t="shared" si="1"/>
        <v>1789592</v>
      </c>
      <c r="H9" s="5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25">
      <c r="A10" s="1">
        <v>4</v>
      </c>
      <c r="B10" s="66" t="s">
        <v>160</v>
      </c>
      <c r="C10" s="55">
        <v>1800000</v>
      </c>
      <c r="D10" s="55">
        <v>4180000</v>
      </c>
      <c r="E10" s="56">
        <f t="shared" si="0"/>
        <v>1800000</v>
      </c>
      <c r="F10" s="56"/>
      <c r="G10" s="56">
        <f t="shared" si="1"/>
        <v>4180000</v>
      </c>
      <c r="H10" s="56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6.25">
      <c r="A11" s="1">
        <v>5</v>
      </c>
      <c r="B11" s="216" t="s">
        <v>271</v>
      </c>
      <c r="C11" s="55"/>
      <c r="D11" s="55">
        <v>1668891</v>
      </c>
      <c r="E11" s="56">
        <f t="shared" si="0"/>
        <v>0</v>
      </c>
      <c r="F11" s="56"/>
      <c r="G11" s="56">
        <f t="shared" si="1"/>
        <v>1668891</v>
      </c>
      <c r="H11" s="56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6.25">
      <c r="A12" s="1">
        <v>6</v>
      </c>
      <c r="B12" s="216" t="s">
        <v>272</v>
      </c>
      <c r="C12" s="55"/>
      <c r="D12" s="55">
        <v>55000</v>
      </c>
      <c r="E12" s="56">
        <f t="shared" si="0"/>
        <v>0</v>
      </c>
      <c r="F12" s="56"/>
      <c r="G12" s="56">
        <f t="shared" si="1"/>
        <v>55000</v>
      </c>
      <c r="H12" s="56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6.25">
      <c r="A13" s="1">
        <v>7</v>
      </c>
      <c r="B13" s="216" t="s">
        <v>273</v>
      </c>
      <c r="C13" s="55"/>
      <c r="D13" s="55">
        <v>1000000</v>
      </c>
      <c r="E13" s="56">
        <f t="shared" si="0"/>
        <v>0</v>
      </c>
      <c r="F13" s="56"/>
      <c r="G13" s="56">
        <f t="shared" si="1"/>
        <v>1000000</v>
      </c>
      <c r="H13" s="56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16.25">
      <c r="A14" s="1">
        <v>8</v>
      </c>
      <c r="B14" s="216" t="s">
        <v>274</v>
      </c>
      <c r="C14" s="55"/>
      <c r="D14" s="55">
        <v>500000</v>
      </c>
      <c r="E14" s="56"/>
      <c r="F14" s="56"/>
      <c r="G14" s="56">
        <f t="shared" si="1"/>
        <v>500000</v>
      </c>
      <c r="H14" s="56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ht="16.25">
      <c r="A15" s="1">
        <v>9</v>
      </c>
      <c r="B15" s="216" t="s">
        <v>275</v>
      </c>
      <c r="C15" s="55"/>
      <c r="D15" s="55">
        <v>450000</v>
      </c>
      <c r="E15" s="56"/>
      <c r="F15" s="56"/>
      <c r="G15" s="56">
        <f t="shared" si="1"/>
        <v>450000</v>
      </c>
      <c r="H15" s="56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ht="16.95">
      <c r="A16" s="1">
        <v>10</v>
      </c>
      <c r="B16" s="50" t="s">
        <v>78</v>
      </c>
      <c r="C16" s="58">
        <f>SUM(C7:C10)</f>
        <v>1800000</v>
      </c>
      <c r="D16" s="58">
        <f>SUM(D7:D15)</f>
        <v>14173883</v>
      </c>
      <c r="E16" s="58">
        <f>SUM(E7:E10)</f>
        <v>1800000</v>
      </c>
      <c r="F16" s="58">
        <f>SUM(F7:F10)</f>
        <v>0</v>
      </c>
      <c r="G16" s="58">
        <f t="shared" si="1"/>
        <v>14173883</v>
      </c>
      <c r="H16" s="58">
        <f>SUM(H7:H10)</f>
        <v>0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60"/>
      <c r="W16" s="60"/>
      <c r="X16" s="61"/>
      <c r="Y16" s="61"/>
      <c r="Z16" s="61"/>
    </row>
    <row r="17" spans="1:26" ht="16.2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20" spans="1:26" ht="59.3">
      <c r="B20" s="53" t="s">
        <v>0</v>
      </c>
      <c r="C20" s="47" t="s">
        <v>1</v>
      </c>
      <c r="D20" s="47" t="s">
        <v>63</v>
      </c>
      <c r="E20" s="54" t="s">
        <v>67</v>
      </c>
      <c r="F20" s="54" t="s">
        <v>68</v>
      </c>
      <c r="G20" s="54" t="s">
        <v>70</v>
      </c>
      <c r="H20" s="54" t="s">
        <v>71</v>
      </c>
    </row>
    <row r="21" spans="1:26" ht="14.15">
      <c r="B21" s="47" t="s">
        <v>5</v>
      </c>
      <c r="C21" s="47" t="s">
        <v>6</v>
      </c>
      <c r="D21" s="47" t="s">
        <v>7</v>
      </c>
      <c r="E21" s="47" t="s">
        <v>8</v>
      </c>
      <c r="F21" s="47" t="s">
        <v>77</v>
      </c>
      <c r="G21" s="47" t="s">
        <v>10</v>
      </c>
      <c r="H21" s="47" t="s">
        <v>11</v>
      </c>
    </row>
    <row r="22" spans="1:26" ht="28.25">
      <c r="A22" s="1">
        <v>1</v>
      </c>
      <c r="B22" s="7" t="s">
        <v>234</v>
      </c>
      <c r="C22" s="62">
        <v>31700000</v>
      </c>
      <c r="D22" s="62">
        <v>0</v>
      </c>
      <c r="E22" s="56">
        <f>C22</f>
        <v>31700000</v>
      </c>
      <c r="F22" s="56"/>
      <c r="G22" s="56">
        <f>D22</f>
        <v>0</v>
      </c>
      <c r="H22" s="56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26" ht="16.25">
      <c r="A23" s="1">
        <v>2</v>
      </c>
      <c r="B23" s="7" t="s">
        <v>276</v>
      </c>
      <c r="C23" s="62"/>
      <c r="D23" s="62">
        <v>385915241</v>
      </c>
      <c r="E23" s="56"/>
      <c r="F23" s="56"/>
      <c r="G23" s="56">
        <f t="shared" ref="G23:G28" si="2">D23</f>
        <v>385915241</v>
      </c>
      <c r="H23" s="56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16.25">
      <c r="B24" s="7" t="s">
        <v>277</v>
      </c>
      <c r="C24" s="62"/>
      <c r="D24" s="62">
        <v>8944433</v>
      </c>
      <c r="E24" s="56"/>
      <c r="F24" s="56"/>
      <c r="G24" s="56">
        <f t="shared" si="2"/>
        <v>8944433</v>
      </c>
      <c r="H24" s="56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ht="16.25">
      <c r="B25" s="7" t="s">
        <v>278</v>
      </c>
      <c r="C25" s="62"/>
      <c r="D25" s="62">
        <v>8862154</v>
      </c>
      <c r="E25" s="56"/>
      <c r="F25" s="56"/>
      <c r="G25" s="56">
        <f t="shared" si="2"/>
        <v>8862154</v>
      </c>
      <c r="H25" s="56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16.25">
      <c r="B26" s="7" t="s">
        <v>279</v>
      </c>
      <c r="C26" s="62"/>
      <c r="D26" s="62">
        <v>268000</v>
      </c>
      <c r="E26" s="56"/>
      <c r="F26" s="56"/>
      <c r="G26" s="56">
        <f t="shared" si="2"/>
        <v>268000</v>
      </c>
      <c r="H26" s="56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ht="16.25">
      <c r="B27" s="7" t="s">
        <v>280</v>
      </c>
      <c r="C27" s="62"/>
      <c r="D27" s="62">
        <v>32000000</v>
      </c>
      <c r="E27" s="56"/>
      <c r="F27" s="56"/>
      <c r="G27" s="56">
        <f t="shared" si="2"/>
        <v>32000000</v>
      </c>
      <c r="H27" s="56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ht="16.25">
      <c r="B28" s="7" t="s">
        <v>281</v>
      </c>
      <c r="C28" s="62"/>
      <c r="D28" s="62">
        <v>15000000</v>
      </c>
      <c r="E28" s="56"/>
      <c r="F28" s="56"/>
      <c r="G28" s="56">
        <f t="shared" si="2"/>
        <v>15000000</v>
      </c>
      <c r="H28" s="56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16.95">
      <c r="A29" s="1">
        <v>2</v>
      </c>
      <c r="B29" s="50" t="s">
        <v>79</v>
      </c>
      <c r="C29" s="58">
        <f>SUM(C22:C22)</f>
        <v>31700000</v>
      </c>
      <c r="D29" s="58">
        <f>SUM(D22:D28)</f>
        <v>450989828</v>
      </c>
      <c r="E29" s="58">
        <f t="shared" ref="E29:H29" si="3">SUM(E22:E28)</f>
        <v>31700000</v>
      </c>
      <c r="F29" s="58">
        <f t="shared" si="3"/>
        <v>0</v>
      </c>
      <c r="G29" s="58">
        <f t="shared" si="3"/>
        <v>450989828</v>
      </c>
      <c r="H29" s="58">
        <f t="shared" si="3"/>
        <v>0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60"/>
      <c r="W29" s="60"/>
      <c r="X29" s="61"/>
      <c r="Y29" s="61"/>
      <c r="Z29" s="61"/>
    </row>
    <row r="31" spans="1:26" ht="18.350000000000001">
      <c r="B31" s="64" t="s">
        <v>80</v>
      </c>
      <c r="C31" s="65">
        <f t="shared" ref="C31:H31" si="4">C29+C16</f>
        <v>33500000</v>
      </c>
      <c r="D31" s="65">
        <f t="shared" si="4"/>
        <v>465163711</v>
      </c>
      <c r="E31" s="65">
        <f t="shared" si="4"/>
        <v>33500000</v>
      </c>
      <c r="F31" s="65">
        <f t="shared" si="4"/>
        <v>0</v>
      </c>
      <c r="G31" s="65">
        <f t="shared" si="4"/>
        <v>465163711</v>
      </c>
      <c r="H31" s="65">
        <f t="shared" si="4"/>
        <v>0</v>
      </c>
    </row>
    <row r="32" spans="1:26">
      <c r="H32" s="1" t="s">
        <v>311</v>
      </c>
    </row>
  </sheetData>
  <mergeCells count="2">
    <mergeCell ref="A1:H1"/>
    <mergeCell ref="E3:H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zoomScale="75" zoomScaleNormal="75" workbookViewId="0">
      <selection activeCell="F24" sqref="F24"/>
    </sheetView>
  </sheetViews>
  <sheetFormatPr defaultColWidth="9.125" defaultRowHeight="12.7"/>
  <cols>
    <col min="1" max="1" width="9.125" style="1" customWidth="1"/>
    <col min="2" max="2" width="71.5" style="1" customWidth="1"/>
    <col min="3" max="3" width="18.875" style="1" customWidth="1"/>
    <col min="4" max="4" width="23.5" style="69" customWidth="1"/>
    <col min="5" max="5" width="21.875" style="1" customWidth="1"/>
    <col min="6" max="6" width="19.625" style="1" customWidth="1"/>
    <col min="7" max="16384" width="9.125" style="1"/>
  </cols>
  <sheetData>
    <row r="1" spans="1:24">
      <c r="B1" s="229" t="s">
        <v>302</v>
      </c>
      <c r="C1" s="229"/>
      <c r="D1" s="229"/>
      <c r="E1" s="229"/>
      <c r="F1" s="229"/>
    </row>
    <row r="2" spans="1:24">
      <c r="B2" s="224"/>
      <c r="C2" s="224"/>
      <c r="D2" s="224"/>
      <c r="E2" s="224" t="s">
        <v>314</v>
      </c>
      <c r="F2" s="224"/>
    </row>
    <row r="3" spans="1:24">
      <c r="B3" s="227"/>
      <c r="C3" s="227"/>
      <c r="D3" s="227"/>
      <c r="E3" s="227"/>
      <c r="F3" s="227"/>
      <c r="G3" s="68"/>
    </row>
    <row r="4" spans="1:24" ht="20.5">
      <c r="B4" s="43" t="s">
        <v>82</v>
      </c>
    </row>
    <row r="5" spans="1:24">
      <c r="F5" s="1" t="s">
        <v>84</v>
      </c>
    </row>
    <row r="6" spans="1:24" ht="59.3">
      <c r="B6" s="53" t="s">
        <v>0</v>
      </c>
      <c r="C6" s="47" t="s">
        <v>1</v>
      </c>
      <c r="D6" s="70" t="s">
        <v>63</v>
      </c>
      <c r="E6" s="54" t="s">
        <v>67</v>
      </c>
      <c r="F6" s="54" t="s">
        <v>70</v>
      </c>
      <c r="H6" s="3"/>
    </row>
    <row r="7" spans="1:24" ht="14.15">
      <c r="B7" s="47" t="s">
        <v>5</v>
      </c>
      <c r="C7" s="47" t="s">
        <v>6</v>
      </c>
      <c r="D7" s="70" t="s">
        <v>7</v>
      </c>
      <c r="E7" s="47" t="s">
        <v>8</v>
      </c>
      <c r="F7" s="47" t="s">
        <v>9</v>
      </c>
    </row>
    <row r="8" spans="1:24" ht="16.25">
      <c r="A8" s="1">
        <v>1</v>
      </c>
      <c r="B8" s="7" t="s">
        <v>83</v>
      </c>
      <c r="C8" s="55">
        <v>34166800</v>
      </c>
      <c r="D8" s="55">
        <v>34166800</v>
      </c>
      <c r="E8" s="56">
        <f>C8</f>
        <v>34166800</v>
      </c>
      <c r="F8" s="56">
        <f>D8</f>
        <v>34166800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ht="16.25">
      <c r="A9" s="1">
        <v>2</v>
      </c>
      <c r="B9" s="7" t="s">
        <v>85</v>
      </c>
      <c r="C9" s="55">
        <v>28880277</v>
      </c>
      <c r="D9" s="55">
        <v>28880277</v>
      </c>
      <c r="E9" s="56">
        <f t="shared" ref="E9:E22" si="0">C9</f>
        <v>28880277</v>
      </c>
      <c r="F9" s="56">
        <f t="shared" ref="F9:F15" si="1">D9</f>
        <v>28880277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 ht="16.25">
      <c r="A10" s="1">
        <v>3</v>
      </c>
      <c r="B10" s="7" t="s">
        <v>86</v>
      </c>
      <c r="C10" s="56">
        <v>2536664</v>
      </c>
      <c r="D10" s="56">
        <v>2536664</v>
      </c>
      <c r="E10" s="56">
        <f t="shared" si="0"/>
        <v>2536664</v>
      </c>
      <c r="F10" s="56">
        <f t="shared" si="1"/>
        <v>2536664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25">
      <c r="A11" s="1">
        <v>4</v>
      </c>
      <c r="B11" s="7" t="s">
        <v>90</v>
      </c>
      <c r="C11" s="55">
        <v>47945561</v>
      </c>
      <c r="D11" s="55">
        <v>47945561</v>
      </c>
      <c r="E11" s="56">
        <f>C11</f>
        <v>47945561</v>
      </c>
      <c r="F11" s="56">
        <f>D11</f>
        <v>47945561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25">
      <c r="A12" s="1">
        <v>5</v>
      </c>
      <c r="B12" s="7" t="s">
        <v>145</v>
      </c>
      <c r="C12" s="55">
        <v>68850</v>
      </c>
      <c r="D12" s="55">
        <v>68850</v>
      </c>
      <c r="E12" s="56">
        <f>C12</f>
        <v>68850</v>
      </c>
      <c r="F12" s="56">
        <f>D12</f>
        <v>68850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6.25">
      <c r="A13" s="1">
        <v>6</v>
      </c>
      <c r="B13" s="7" t="s">
        <v>295</v>
      </c>
      <c r="C13" s="55">
        <v>0</v>
      </c>
      <c r="D13" s="55">
        <f>128466+324200</f>
        <v>452666</v>
      </c>
      <c r="E13" s="56">
        <f t="shared" si="0"/>
        <v>0</v>
      </c>
      <c r="F13" s="56">
        <f t="shared" si="1"/>
        <v>452666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:24" ht="33.549999999999997" customHeight="1">
      <c r="A14" s="1">
        <v>7</v>
      </c>
      <c r="B14" s="9" t="s">
        <v>142</v>
      </c>
      <c r="C14" s="58">
        <f>SUM(C8:C13)</f>
        <v>113598152</v>
      </c>
      <c r="D14" s="58">
        <f>SUM(D8:D13)</f>
        <v>114050818</v>
      </c>
      <c r="E14" s="58">
        <f t="shared" si="0"/>
        <v>113598152</v>
      </c>
      <c r="F14" s="58">
        <f t="shared" si="1"/>
        <v>114050818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9.65">
      <c r="A15" s="1">
        <v>10</v>
      </c>
      <c r="B15" s="9" t="s">
        <v>143</v>
      </c>
      <c r="C15" s="58">
        <v>40154200</v>
      </c>
      <c r="D15" s="58">
        <v>37950866</v>
      </c>
      <c r="E15" s="58">
        <f t="shared" si="0"/>
        <v>40154200</v>
      </c>
      <c r="F15" s="58">
        <f t="shared" si="1"/>
        <v>37950866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6.25">
      <c r="A16" s="1">
        <v>11</v>
      </c>
      <c r="B16" s="7" t="s">
        <v>144</v>
      </c>
      <c r="C16" s="56">
        <v>2269760</v>
      </c>
      <c r="D16" s="56">
        <v>2269760</v>
      </c>
      <c r="E16" s="56">
        <f t="shared" si="0"/>
        <v>2269760</v>
      </c>
      <c r="F16" s="56">
        <f t="shared" ref="F16:F22" si="2">D16</f>
        <v>2269760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6.25">
      <c r="A17" s="1">
        <v>12</v>
      </c>
      <c r="B17" s="7" t="s">
        <v>141</v>
      </c>
      <c r="C17" s="55">
        <v>12974000</v>
      </c>
      <c r="D17" s="55">
        <v>12974000</v>
      </c>
      <c r="E17" s="56">
        <f t="shared" si="0"/>
        <v>12974000</v>
      </c>
      <c r="F17" s="56">
        <f t="shared" si="2"/>
        <v>12974000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ht="16.25">
      <c r="A18" s="1">
        <v>13</v>
      </c>
      <c r="B18" s="7" t="s">
        <v>235</v>
      </c>
      <c r="C18" s="55">
        <v>3040000</v>
      </c>
      <c r="D18" s="55">
        <f>3496000+6819609</f>
        <v>10315609</v>
      </c>
      <c r="E18" s="56">
        <f t="shared" si="0"/>
        <v>3040000</v>
      </c>
      <c r="F18" s="56">
        <f t="shared" si="2"/>
        <v>10315609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4" ht="16.25">
      <c r="A19" s="1">
        <v>14</v>
      </c>
      <c r="B19" s="7" t="s">
        <v>296</v>
      </c>
      <c r="C19" s="55">
        <f>8838000+1496500</f>
        <v>10334500</v>
      </c>
      <c r="D19" s="55">
        <f>8838000+1496500+4509000</f>
        <v>14843500</v>
      </c>
      <c r="E19" s="56">
        <f t="shared" si="0"/>
        <v>10334500</v>
      </c>
      <c r="F19" s="56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:24" ht="29.65">
      <c r="A20" s="1">
        <v>15</v>
      </c>
      <c r="B20" s="9" t="s">
        <v>87</v>
      </c>
      <c r="C20" s="58">
        <f>SUM(C16:C19)</f>
        <v>28618260</v>
      </c>
      <c r="D20" s="58">
        <f>SUM(D16:D19)</f>
        <v>40402869</v>
      </c>
      <c r="E20" s="58">
        <f t="shared" si="0"/>
        <v>28618260</v>
      </c>
      <c r="F20" s="58">
        <f t="shared" si="2"/>
        <v>40402869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6.25">
      <c r="A21" s="1">
        <v>16</v>
      </c>
      <c r="B21" s="7" t="s">
        <v>88</v>
      </c>
      <c r="C21" s="56">
        <v>2204620</v>
      </c>
      <c r="D21" s="56">
        <v>2204620</v>
      </c>
      <c r="E21" s="56">
        <f t="shared" si="0"/>
        <v>2204620</v>
      </c>
      <c r="F21" s="56">
        <f t="shared" si="2"/>
        <v>2204620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9.65">
      <c r="A22" s="1">
        <v>17</v>
      </c>
      <c r="B22" s="9" t="s">
        <v>89</v>
      </c>
      <c r="C22" s="58">
        <f>C21</f>
        <v>2204620</v>
      </c>
      <c r="D22" s="58">
        <f>D21</f>
        <v>2204620</v>
      </c>
      <c r="E22" s="58">
        <f t="shared" si="0"/>
        <v>2204620</v>
      </c>
      <c r="F22" s="58">
        <f t="shared" si="2"/>
        <v>2204620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6.95">
      <c r="A23" s="1">
        <v>18</v>
      </c>
      <c r="B23" s="50" t="s">
        <v>146</v>
      </c>
      <c r="C23" s="58">
        <f>C22+C20+C15+C14</f>
        <v>184575232</v>
      </c>
      <c r="D23" s="58">
        <f>D22+D20+D15+D14</f>
        <v>194609173</v>
      </c>
      <c r="E23" s="58">
        <f>E22+E20+E15+E14</f>
        <v>184575232</v>
      </c>
      <c r="F23" s="58">
        <f>F22+F20+F15+F14</f>
        <v>194609173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0"/>
      <c r="V23" s="61"/>
      <c r="W23" s="61"/>
      <c r="X23" s="61"/>
    </row>
    <row r="24" spans="1:24">
      <c r="F24" s="1" t="s">
        <v>311</v>
      </c>
    </row>
  </sheetData>
  <mergeCells count="2">
    <mergeCell ref="B1:F1"/>
    <mergeCell ref="B3:F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E15" sqref="E15"/>
    </sheetView>
  </sheetViews>
  <sheetFormatPr defaultColWidth="9.125" defaultRowHeight="12.7"/>
  <cols>
    <col min="1" max="1" width="9.125" style="1" customWidth="1"/>
    <col min="2" max="2" width="35.875" style="1" customWidth="1"/>
    <col min="3" max="3" width="17.375" style="1" customWidth="1"/>
    <col min="4" max="4" width="18" style="69" customWidth="1"/>
    <col min="5" max="5" width="19.875" style="1" customWidth="1"/>
    <col min="6" max="6" width="20" style="1" customWidth="1"/>
    <col min="7" max="7" width="37.5" style="76" customWidth="1"/>
    <col min="8" max="8" width="12.875" style="1" customWidth="1"/>
    <col min="9" max="9" width="13.5" style="1" customWidth="1"/>
    <col min="10" max="10" width="20.625" style="1" customWidth="1"/>
    <col min="11" max="11" width="18" style="1" customWidth="1"/>
    <col min="12" max="16384" width="9.125" style="1"/>
  </cols>
  <sheetData>
    <row r="1" spans="1:8">
      <c r="B1" s="3"/>
      <c r="C1" s="3"/>
      <c r="D1" s="72"/>
      <c r="E1" s="3"/>
      <c r="F1" s="3"/>
      <c r="G1" s="22"/>
      <c r="H1" s="3"/>
    </row>
    <row r="2" spans="1:8">
      <c r="B2" s="231" t="s">
        <v>303</v>
      </c>
      <c r="C2" s="231"/>
      <c r="D2" s="231"/>
      <c r="E2" s="231"/>
      <c r="F2" s="231"/>
      <c r="G2" s="22"/>
      <c r="H2" s="3"/>
    </row>
    <row r="3" spans="1:8">
      <c r="B3" s="225"/>
      <c r="C3" s="225"/>
      <c r="D3" s="225" t="s">
        <v>315</v>
      </c>
      <c r="E3" s="225"/>
      <c r="F3" s="225"/>
      <c r="G3" s="22"/>
      <c r="H3" s="3"/>
    </row>
    <row r="4" spans="1:8">
      <c r="B4" s="227"/>
      <c r="C4" s="227"/>
      <c r="D4" s="227"/>
      <c r="E4" s="227"/>
      <c r="F4" s="227"/>
      <c r="G4" s="68"/>
      <c r="H4" s="68"/>
    </row>
    <row r="5" spans="1:8" ht="20.5">
      <c r="B5" s="43" t="s">
        <v>91</v>
      </c>
      <c r="C5" s="3"/>
      <c r="E5" s="3"/>
      <c r="F5" s="3"/>
      <c r="G5" s="22"/>
      <c r="H5" s="3"/>
    </row>
    <row r="6" spans="1:8">
      <c r="B6" s="3"/>
      <c r="C6" s="3"/>
      <c r="E6" s="3"/>
      <c r="F6" s="3" t="s">
        <v>84</v>
      </c>
      <c r="G6" s="22"/>
      <c r="H6" s="3"/>
    </row>
    <row r="7" spans="1:8" ht="25.45">
      <c r="B7" s="73" t="s">
        <v>0</v>
      </c>
      <c r="C7" s="74" t="s">
        <v>94</v>
      </c>
      <c r="D7" s="75" t="s">
        <v>95</v>
      </c>
      <c r="E7" s="74" t="s">
        <v>96</v>
      </c>
      <c r="F7" s="74" t="s">
        <v>97</v>
      </c>
    </row>
    <row r="8" spans="1:8">
      <c r="B8" s="77" t="s">
        <v>5</v>
      </c>
      <c r="C8" s="77" t="s">
        <v>6</v>
      </c>
      <c r="D8" s="78" t="s">
        <v>7</v>
      </c>
      <c r="E8" s="77" t="s">
        <v>8</v>
      </c>
      <c r="F8" s="77" t="s">
        <v>9</v>
      </c>
    </row>
    <row r="9" spans="1:8" ht="50.3" customHeight="1">
      <c r="A9" s="1">
        <v>1</v>
      </c>
      <c r="B9" s="7" t="s">
        <v>276</v>
      </c>
      <c r="C9" s="62">
        <v>385915241</v>
      </c>
      <c r="D9" s="62">
        <v>385915241</v>
      </c>
      <c r="E9" s="217">
        <f>D9-C9</f>
        <v>0</v>
      </c>
      <c r="F9" s="218">
        <v>0</v>
      </c>
    </row>
    <row r="10" spans="1:8">
      <c r="A10" s="1">
        <v>2</v>
      </c>
      <c r="B10" s="79" t="s">
        <v>93</v>
      </c>
      <c r="C10" s="80">
        <f>SUM(C9)</f>
        <v>385915241</v>
      </c>
      <c r="D10" s="81">
        <f>SUM(D9)</f>
        <v>385915241</v>
      </c>
      <c r="E10" s="80">
        <f>D10-C10</f>
        <v>0</v>
      </c>
      <c r="F10" s="80"/>
    </row>
    <row r="11" spans="1:8">
      <c r="F11" s="1" t="s">
        <v>311</v>
      </c>
    </row>
    <row r="12" spans="1:8">
      <c r="C12" s="76"/>
      <c r="E12" s="82"/>
    </row>
  </sheetData>
  <mergeCells count="2">
    <mergeCell ref="B2:F2"/>
    <mergeCell ref="B4:F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topLeftCell="A10" zoomScale="60" zoomScaleNormal="60" workbookViewId="0">
      <selection activeCell="K4" sqref="K4"/>
    </sheetView>
  </sheetViews>
  <sheetFormatPr defaultColWidth="9.125" defaultRowHeight="12.7"/>
  <cols>
    <col min="1" max="1" width="9.125" style="1" customWidth="1"/>
    <col min="2" max="2" width="45.5" style="1" customWidth="1"/>
    <col min="3" max="3" width="22.125" style="83" customWidth="1"/>
    <col min="4" max="4" width="22.5" style="83" customWidth="1"/>
    <col min="5" max="5" width="14.375" style="83" customWidth="1"/>
    <col min="6" max="6" width="14.625" style="83" customWidth="1"/>
    <col min="7" max="8" width="13.5" style="83" customWidth="1"/>
    <col min="9" max="9" width="21.375" style="83" customWidth="1"/>
    <col min="10" max="10" width="21.625" style="83" customWidth="1"/>
    <col min="11" max="11" width="22.5" style="83" customWidth="1"/>
    <col min="12" max="12" width="18.125" style="83" customWidth="1"/>
    <col min="13" max="13" width="21.5" style="83" customWidth="1"/>
    <col min="14" max="14" width="18.125" style="83" customWidth="1"/>
    <col min="15" max="16384" width="9.125" style="1"/>
  </cols>
  <sheetData>
    <row r="1" spans="1:16">
      <c r="B1" s="231" t="s">
        <v>304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6"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 t="s">
        <v>316</v>
      </c>
      <c r="M2" s="225"/>
      <c r="N2" s="225"/>
    </row>
    <row r="3" spans="1:16" ht="20.5">
      <c r="B3" s="43" t="s">
        <v>98</v>
      </c>
      <c r="J3" s="229"/>
      <c r="K3" s="229"/>
      <c r="L3" s="229"/>
      <c r="M3" s="229"/>
      <c r="N3" s="229"/>
    </row>
    <row r="5" spans="1:16">
      <c r="B5" s="16" t="s">
        <v>99</v>
      </c>
      <c r="M5" s="1" t="s">
        <v>84</v>
      </c>
    </row>
    <row r="6" spans="1:16" ht="59.3">
      <c r="B6" s="84" t="s">
        <v>0</v>
      </c>
      <c r="C6" s="47" t="s">
        <v>1</v>
      </c>
      <c r="D6" s="47" t="s">
        <v>75</v>
      </c>
      <c r="E6" s="47" t="s">
        <v>2</v>
      </c>
      <c r="F6" s="47" t="s">
        <v>105</v>
      </c>
      <c r="G6" s="47" t="s">
        <v>69</v>
      </c>
      <c r="H6" s="47" t="s">
        <v>106</v>
      </c>
      <c r="I6" s="54" t="s">
        <v>3</v>
      </c>
      <c r="J6" s="54" t="s">
        <v>4</v>
      </c>
      <c r="K6" s="54" t="s">
        <v>67</v>
      </c>
      <c r="L6" s="54" t="s">
        <v>68</v>
      </c>
      <c r="M6" s="54" t="s">
        <v>70</v>
      </c>
      <c r="N6" s="54" t="s">
        <v>71</v>
      </c>
      <c r="P6" s="3"/>
    </row>
    <row r="7" spans="1:16" ht="15.55">
      <c r="B7" s="85" t="s">
        <v>5</v>
      </c>
      <c r="C7" s="85" t="s">
        <v>6</v>
      </c>
      <c r="D7" s="85" t="s">
        <v>7</v>
      </c>
      <c r="E7" s="85" t="s">
        <v>8</v>
      </c>
      <c r="F7" s="85" t="s">
        <v>9</v>
      </c>
      <c r="G7" s="85" t="s">
        <v>10</v>
      </c>
      <c r="H7" s="85" t="s">
        <v>11</v>
      </c>
      <c r="I7" s="85" t="s">
        <v>12</v>
      </c>
      <c r="J7" s="85" t="s">
        <v>13</v>
      </c>
      <c r="K7" s="85" t="s">
        <v>14</v>
      </c>
      <c r="L7" s="85" t="s">
        <v>15</v>
      </c>
      <c r="M7" s="85" t="s">
        <v>16</v>
      </c>
      <c r="N7" s="85" t="s">
        <v>226</v>
      </c>
    </row>
    <row r="8" spans="1:16" ht="55.1">
      <c r="A8" s="1">
        <v>1</v>
      </c>
      <c r="B8" s="204" t="s">
        <v>267</v>
      </c>
      <c r="C8" s="203">
        <v>22000000</v>
      </c>
      <c r="D8" s="203">
        <v>6734405</v>
      </c>
      <c r="E8" s="111"/>
      <c r="F8" s="111"/>
      <c r="G8" s="111"/>
      <c r="H8" s="111"/>
      <c r="I8" s="111">
        <f>C8+E8+G8</f>
        <v>22000000</v>
      </c>
      <c r="J8" s="111">
        <f>D8+F8+H8</f>
        <v>6734405</v>
      </c>
      <c r="K8" s="111">
        <f>C8</f>
        <v>22000000</v>
      </c>
      <c r="L8" s="111"/>
      <c r="M8" s="111">
        <f>J8</f>
        <v>6734405</v>
      </c>
      <c r="N8" s="111"/>
    </row>
    <row r="9" spans="1:16" ht="36.700000000000003">
      <c r="A9" s="1">
        <v>2</v>
      </c>
      <c r="B9" s="204" t="s">
        <v>268</v>
      </c>
      <c r="C9" s="203">
        <f>12000000/1.27</f>
        <v>9448818.8976377957</v>
      </c>
      <c r="D9" s="203">
        <v>10163800</v>
      </c>
      <c r="E9" s="111"/>
      <c r="F9" s="111"/>
      <c r="G9" s="111"/>
      <c r="H9" s="111"/>
      <c r="I9" s="111">
        <f t="shared" ref="I9:I24" si="0">C9+E9+G9</f>
        <v>9448818.8976377957</v>
      </c>
      <c r="J9" s="111">
        <f t="shared" ref="J9:J24" si="1">D9+F9+H9</f>
        <v>10163800</v>
      </c>
      <c r="K9" s="111">
        <f t="shared" ref="K9:K24" si="2">C9</f>
        <v>9448818.8976377957</v>
      </c>
      <c r="L9" s="111"/>
      <c r="M9" s="111">
        <f t="shared" ref="M9:M24" si="3">J9</f>
        <v>10163800</v>
      </c>
      <c r="N9" s="111"/>
    </row>
    <row r="10" spans="1:16" ht="18.350000000000001">
      <c r="A10" s="1">
        <v>3</v>
      </c>
      <c r="B10" s="204" t="s">
        <v>236</v>
      </c>
      <c r="C10" s="203">
        <f>15000000/1.27</f>
        <v>11811023.622047244</v>
      </c>
      <c r="D10" s="203">
        <v>0</v>
      </c>
      <c r="E10" s="111"/>
      <c r="F10" s="111"/>
      <c r="G10" s="111"/>
      <c r="H10" s="111"/>
      <c r="I10" s="111">
        <f t="shared" si="0"/>
        <v>11811023.622047244</v>
      </c>
      <c r="J10" s="111">
        <f t="shared" si="1"/>
        <v>0</v>
      </c>
      <c r="K10" s="111">
        <f t="shared" si="2"/>
        <v>11811023.622047244</v>
      </c>
      <c r="L10" s="111"/>
      <c r="M10" s="111">
        <f t="shared" si="3"/>
        <v>0</v>
      </c>
      <c r="N10" s="111"/>
    </row>
    <row r="11" spans="1:16" ht="36.700000000000003" customHeight="1">
      <c r="A11" s="1">
        <v>4</v>
      </c>
      <c r="B11" s="204" t="s">
        <v>237</v>
      </c>
      <c r="C11" s="203">
        <v>21000000</v>
      </c>
      <c r="D11" s="203">
        <v>0</v>
      </c>
      <c r="E11" s="111"/>
      <c r="F11" s="111"/>
      <c r="G11" s="111"/>
      <c r="H11" s="111"/>
      <c r="I11" s="111">
        <f t="shared" si="0"/>
        <v>21000000</v>
      </c>
      <c r="J11" s="111">
        <f t="shared" si="1"/>
        <v>0</v>
      </c>
      <c r="K11" s="111">
        <f t="shared" si="2"/>
        <v>21000000</v>
      </c>
      <c r="L11" s="111"/>
      <c r="M11" s="111">
        <f t="shared" si="3"/>
        <v>0</v>
      </c>
      <c r="N11" s="111"/>
    </row>
    <row r="12" spans="1:16" ht="36.700000000000003" customHeight="1">
      <c r="A12" s="1">
        <v>5</v>
      </c>
      <c r="B12" s="204" t="s">
        <v>238</v>
      </c>
      <c r="C12" s="203">
        <v>20000000</v>
      </c>
      <c r="D12" s="203">
        <v>20419196</v>
      </c>
      <c r="E12" s="111"/>
      <c r="F12" s="111"/>
      <c r="G12" s="111"/>
      <c r="H12" s="111"/>
      <c r="I12" s="111">
        <f t="shared" si="0"/>
        <v>20000000</v>
      </c>
      <c r="J12" s="111">
        <f t="shared" si="1"/>
        <v>20419196</v>
      </c>
      <c r="K12" s="111">
        <f t="shared" si="2"/>
        <v>20000000</v>
      </c>
      <c r="L12" s="111"/>
      <c r="M12" s="111">
        <f t="shared" si="3"/>
        <v>20419196</v>
      </c>
      <c r="N12" s="111"/>
    </row>
    <row r="13" spans="1:16" ht="36.700000000000003" customHeight="1">
      <c r="A13" s="1">
        <v>6</v>
      </c>
      <c r="B13" s="204" t="s">
        <v>269</v>
      </c>
      <c r="C13" s="203">
        <v>20000000</v>
      </c>
      <c r="D13" s="203">
        <v>5452202</v>
      </c>
      <c r="E13" s="111"/>
      <c r="F13" s="111"/>
      <c r="G13" s="111"/>
      <c r="H13" s="111"/>
      <c r="I13" s="111">
        <f t="shared" si="0"/>
        <v>20000000</v>
      </c>
      <c r="J13" s="111">
        <f t="shared" si="1"/>
        <v>5452202</v>
      </c>
      <c r="K13" s="111">
        <f t="shared" si="2"/>
        <v>20000000</v>
      </c>
      <c r="L13" s="111"/>
      <c r="M13" s="111">
        <f t="shared" si="3"/>
        <v>5452202</v>
      </c>
      <c r="N13" s="111"/>
    </row>
    <row r="14" spans="1:16" ht="36.700000000000003" customHeight="1">
      <c r="A14" s="1">
        <v>7</v>
      </c>
      <c r="B14" s="204" t="s">
        <v>239</v>
      </c>
      <c r="C14" s="203">
        <v>10000000</v>
      </c>
      <c r="D14" s="203">
        <v>2495600</v>
      </c>
      <c r="E14" s="111"/>
      <c r="F14" s="111"/>
      <c r="G14" s="111"/>
      <c r="H14" s="111"/>
      <c r="I14" s="111">
        <f t="shared" si="0"/>
        <v>10000000</v>
      </c>
      <c r="J14" s="111">
        <f t="shared" si="1"/>
        <v>2495600</v>
      </c>
      <c r="K14" s="111">
        <f t="shared" si="2"/>
        <v>10000000</v>
      </c>
      <c r="L14" s="111"/>
      <c r="M14" s="111">
        <f t="shared" si="3"/>
        <v>2495600</v>
      </c>
      <c r="N14" s="111"/>
    </row>
    <row r="15" spans="1:16" ht="36.700000000000003" customHeight="1">
      <c r="A15" s="1">
        <v>8</v>
      </c>
      <c r="B15" s="204" t="s">
        <v>240</v>
      </c>
      <c r="C15" s="203">
        <f>5000000/1.27</f>
        <v>3937007.874015748</v>
      </c>
      <c r="D15" s="203">
        <v>4352922</v>
      </c>
      <c r="E15" s="111"/>
      <c r="F15" s="111"/>
      <c r="G15" s="111"/>
      <c r="H15" s="111"/>
      <c r="I15" s="111">
        <f t="shared" si="0"/>
        <v>3937007.874015748</v>
      </c>
      <c r="J15" s="111">
        <f t="shared" si="1"/>
        <v>4352922</v>
      </c>
      <c r="K15" s="111">
        <f t="shared" si="2"/>
        <v>3937007.874015748</v>
      </c>
      <c r="L15" s="111"/>
      <c r="M15" s="111">
        <f t="shared" si="3"/>
        <v>4352922</v>
      </c>
      <c r="N15" s="111"/>
    </row>
    <row r="16" spans="1:16" ht="36.700000000000003" customHeight="1">
      <c r="A16" s="1">
        <v>9</v>
      </c>
      <c r="B16" s="202" t="s">
        <v>223</v>
      </c>
      <c r="C16" s="203">
        <v>2000000</v>
      </c>
      <c r="D16" s="203">
        <v>0</v>
      </c>
      <c r="E16" s="111"/>
      <c r="F16" s="111"/>
      <c r="G16" s="111"/>
      <c r="H16" s="111"/>
      <c r="I16" s="111">
        <f t="shared" si="0"/>
        <v>2000000</v>
      </c>
      <c r="J16" s="111">
        <f t="shared" si="1"/>
        <v>0</v>
      </c>
      <c r="K16" s="111">
        <f t="shared" si="2"/>
        <v>2000000</v>
      </c>
      <c r="L16" s="111"/>
      <c r="M16" s="111">
        <f t="shared" si="3"/>
        <v>0</v>
      </c>
      <c r="N16" s="111"/>
    </row>
    <row r="17" spans="1:14" ht="36.700000000000003" customHeight="1">
      <c r="A17" s="1">
        <v>10</v>
      </c>
      <c r="B17" s="202" t="s">
        <v>241</v>
      </c>
      <c r="C17" s="203">
        <v>2000000</v>
      </c>
      <c r="D17" s="203">
        <v>0</v>
      </c>
      <c r="E17" s="111"/>
      <c r="F17" s="111"/>
      <c r="G17" s="111"/>
      <c r="H17" s="111"/>
      <c r="I17" s="111">
        <f t="shared" si="0"/>
        <v>2000000</v>
      </c>
      <c r="J17" s="111">
        <f t="shared" si="1"/>
        <v>0</v>
      </c>
      <c r="K17" s="111">
        <f t="shared" si="2"/>
        <v>2000000</v>
      </c>
      <c r="L17" s="111"/>
      <c r="M17" s="111">
        <f t="shared" si="3"/>
        <v>0</v>
      </c>
      <c r="N17" s="111"/>
    </row>
    <row r="18" spans="1:14" ht="36.700000000000003" customHeight="1">
      <c r="A18" s="1">
        <v>11</v>
      </c>
      <c r="B18" s="204" t="s">
        <v>242</v>
      </c>
      <c r="C18" s="203">
        <f>8000000/1.27</f>
        <v>6299212.5984251965</v>
      </c>
      <c r="D18" s="203">
        <v>0</v>
      </c>
      <c r="E18" s="111"/>
      <c r="F18" s="111"/>
      <c r="G18" s="111"/>
      <c r="H18" s="111"/>
      <c r="I18" s="111">
        <f t="shared" si="0"/>
        <v>6299212.5984251965</v>
      </c>
      <c r="J18" s="111">
        <f t="shared" si="1"/>
        <v>0</v>
      </c>
      <c r="K18" s="111">
        <f t="shared" si="2"/>
        <v>6299212.5984251965</v>
      </c>
      <c r="L18" s="111"/>
      <c r="M18" s="111">
        <f t="shared" si="3"/>
        <v>0</v>
      </c>
      <c r="N18" s="111"/>
    </row>
    <row r="19" spans="1:14" ht="36.700000000000003" customHeight="1">
      <c r="A19" s="1">
        <v>12</v>
      </c>
      <c r="B19" s="202" t="s">
        <v>243</v>
      </c>
      <c r="C19" s="203">
        <f>3200000/1.27</f>
        <v>2519685.0393700786</v>
      </c>
      <c r="D19" s="203">
        <v>0</v>
      </c>
      <c r="E19" s="111"/>
      <c r="F19" s="111"/>
      <c r="G19" s="111"/>
      <c r="H19" s="111"/>
      <c r="I19" s="111">
        <f t="shared" si="0"/>
        <v>2519685.0393700786</v>
      </c>
      <c r="J19" s="111">
        <f t="shared" si="1"/>
        <v>0</v>
      </c>
      <c r="K19" s="111">
        <f t="shared" si="2"/>
        <v>2519685.0393700786</v>
      </c>
      <c r="L19" s="111"/>
      <c r="M19" s="111">
        <f t="shared" si="3"/>
        <v>0</v>
      </c>
      <c r="N19" s="111"/>
    </row>
    <row r="20" spans="1:14" ht="36.700000000000003" customHeight="1">
      <c r="A20" s="1">
        <v>13</v>
      </c>
      <c r="B20" s="202" t="s">
        <v>270</v>
      </c>
      <c r="C20" s="203">
        <v>4000000</v>
      </c>
      <c r="D20" s="203">
        <v>0</v>
      </c>
      <c r="E20" s="111"/>
      <c r="F20" s="111"/>
      <c r="G20" s="111"/>
      <c r="H20" s="111"/>
      <c r="I20" s="111">
        <f t="shared" si="0"/>
        <v>4000000</v>
      </c>
      <c r="J20" s="111">
        <f t="shared" si="1"/>
        <v>0</v>
      </c>
      <c r="K20" s="111">
        <f t="shared" si="2"/>
        <v>4000000</v>
      </c>
      <c r="L20" s="111"/>
      <c r="M20" s="111">
        <f t="shared" si="3"/>
        <v>0</v>
      </c>
      <c r="N20" s="111"/>
    </row>
    <row r="21" spans="1:14" ht="18.350000000000001">
      <c r="A21" s="1">
        <v>14</v>
      </c>
      <c r="B21" s="202" t="s">
        <v>244</v>
      </c>
      <c r="C21" s="203">
        <f>8800000/1.27</f>
        <v>6929133.8582677161</v>
      </c>
      <c r="D21" s="203">
        <v>10500000</v>
      </c>
      <c r="E21" s="111"/>
      <c r="F21" s="111"/>
      <c r="G21" s="111"/>
      <c r="H21" s="111"/>
      <c r="I21" s="111">
        <f t="shared" si="0"/>
        <v>6929133.8582677161</v>
      </c>
      <c r="J21" s="111">
        <f t="shared" ref="J21:J23" si="4">D21+F21+H21</f>
        <v>10500000</v>
      </c>
      <c r="K21" s="111">
        <f t="shared" ref="K21:K23" si="5">C21</f>
        <v>6929133.8582677161</v>
      </c>
      <c r="L21" s="111"/>
      <c r="M21" s="111">
        <f t="shared" si="3"/>
        <v>10500000</v>
      </c>
      <c r="N21" s="111"/>
    </row>
    <row r="22" spans="1:14" ht="18.350000000000001">
      <c r="A22" s="1">
        <v>15</v>
      </c>
      <c r="B22" s="204" t="s">
        <v>245</v>
      </c>
      <c r="C22" s="203">
        <v>3000000</v>
      </c>
      <c r="D22" s="203">
        <v>1791520</v>
      </c>
      <c r="E22" s="111"/>
      <c r="F22" s="111"/>
      <c r="G22" s="111"/>
      <c r="H22" s="111"/>
      <c r="I22" s="111">
        <f t="shared" si="0"/>
        <v>3000000</v>
      </c>
      <c r="J22" s="111">
        <f t="shared" si="4"/>
        <v>1791520</v>
      </c>
      <c r="K22" s="111">
        <f t="shared" si="5"/>
        <v>3000000</v>
      </c>
      <c r="L22" s="111"/>
      <c r="M22" s="111">
        <f t="shared" si="3"/>
        <v>1791520</v>
      </c>
      <c r="N22" s="111"/>
    </row>
    <row r="23" spans="1:14" ht="55.1">
      <c r="A23" s="1">
        <v>16</v>
      </c>
      <c r="B23" s="204" t="s">
        <v>282</v>
      </c>
      <c r="C23" s="203">
        <v>2500000</v>
      </c>
      <c r="D23" s="203">
        <v>0</v>
      </c>
      <c r="E23" s="111"/>
      <c r="F23" s="111"/>
      <c r="G23" s="111"/>
      <c r="H23" s="111"/>
      <c r="I23" s="111">
        <f t="shared" si="0"/>
        <v>2500000</v>
      </c>
      <c r="J23" s="111">
        <f t="shared" si="4"/>
        <v>0</v>
      </c>
      <c r="K23" s="111">
        <f t="shared" si="5"/>
        <v>2500000</v>
      </c>
      <c r="L23" s="111"/>
      <c r="M23" s="111">
        <f t="shared" si="3"/>
        <v>0</v>
      </c>
      <c r="N23" s="111"/>
    </row>
    <row r="24" spans="1:14" ht="18.350000000000001">
      <c r="A24" s="1">
        <v>17</v>
      </c>
      <c r="B24" s="204" t="s">
        <v>246</v>
      </c>
      <c r="C24" s="203">
        <v>5000000</v>
      </c>
      <c r="D24" s="203">
        <v>0</v>
      </c>
      <c r="E24" s="111"/>
      <c r="F24" s="111"/>
      <c r="G24" s="111"/>
      <c r="H24" s="111"/>
      <c r="I24" s="111">
        <f t="shared" si="0"/>
        <v>5000000</v>
      </c>
      <c r="J24" s="111">
        <f t="shared" si="1"/>
        <v>0</v>
      </c>
      <c r="K24" s="111">
        <f t="shared" si="2"/>
        <v>5000000</v>
      </c>
      <c r="L24" s="111"/>
      <c r="M24" s="111">
        <f t="shared" si="3"/>
        <v>0</v>
      </c>
      <c r="N24" s="111"/>
    </row>
    <row r="25" spans="1:14" ht="18.350000000000001">
      <c r="A25" s="1">
        <v>18</v>
      </c>
      <c r="B25" s="204" t="s">
        <v>247</v>
      </c>
      <c r="C25" s="203">
        <v>1200000</v>
      </c>
      <c r="D25" s="203">
        <v>0</v>
      </c>
      <c r="E25" s="111"/>
      <c r="F25" s="111"/>
      <c r="G25" s="111"/>
      <c r="H25" s="111"/>
      <c r="I25" s="111">
        <f t="shared" ref="I25:I36" si="6">C25+E25+G25</f>
        <v>1200000</v>
      </c>
      <c r="J25" s="111">
        <f t="shared" ref="J25:J36" si="7">D25+F25+H25</f>
        <v>0</v>
      </c>
      <c r="K25" s="111">
        <f t="shared" ref="K25:K36" si="8">C25</f>
        <v>1200000</v>
      </c>
      <c r="L25" s="111"/>
      <c r="M25" s="111">
        <f t="shared" ref="M25:M36" si="9">J25</f>
        <v>0</v>
      </c>
      <c r="N25" s="111"/>
    </row>
    <row r="26" spans="1:14" ht="18.350000000000001">
      <c r="A26" s="1">
        <v>19</v>
      </c>
      <c r="B26" s="204" t="s">
        <v>283</v>
      </c>
      <c r="C26" s="203">
        <v>0</v>
      </c>
      <c r="D26" s="203">
        <v>250000</v>
      </c>
      <c r="E26" s="111"/>
      <c r="F26" s="111"/>
      <c r="G26" s="111"/>
      <c r="H26" s="111"/>
      <c r="I26" s="111">
        <f t="shared" si="6"/>
        <v>0</v>
      </c>
      <c r="J26" s="111">
        <f t="shared" si="7"/>
        <v>250000</v>
      </c>
      <c r="K26" s="111">
        <f t="shared" si="8"/>
        <v>0</v>
      </c>
      <c r="L26" s="111"/>
      <c r="M26" s="111">
        <f t="shared" si="9"/>
        <v>250000</v>
      </c>
      <c r="N26" s="111"/>
    </row>
    <row r="27" spans="1:14" ht="36.700000000000003">
      <c r="A27" s="1">
        <v>20</v>
      </c>
      <c r="B27" s="204" t="s">
        <v>284</v>
      </c>
      <c r="C27" s="203">
        <v>5000000</v>
      </c>
      <c r="D27" s="203">
        <f>116459+3500000</f>
        <v>3616459</v>
      </c>
      <c r="E27" s="111"/>
      <c r="F27" s="111"/>
      <c r="G27" s="111"/>
      <c r="H27" s="111"/>
      <c r="I27" s="111">
        <f t="shared" si="6"/>
        <v>5000000</v>
      </c>
      <c r="J27" s="111">
        <f t="shared" si="7"/>
        <v>3616459</v>
      </c>
      <c r="K27" s="111">
        <f t="shared" si="8"/>
        <v>5000000</v>
      </c>
      <c r="L27" s="111"/>
      <c r="M27" s="111">
        <f t="shared" si="9"/>
        <v>3616459</v>
      </c>
      <c r="N27" s="111"/>
    </row>
    <row r="28" spans="1:14" ht="18.350000000000001">
      <c r="A28" s="1">
        <v>21</v>
      </c>
      <c r="B28" s="204" t="s">
        <v>263</v>
      </c>
      <c r="C28" s="203">
        <f>20000000/1.27</f>
        <v>15748031.496062992</v>
      </c>
      <c r="D28" s="203">
        <v>0</v>
      </c>
      <c r="E28" s="111"/>
      <c r="F28" s="111"/>
      <c r="G28" s="111"/>
      <c r="H28" s="111"/>
      <c r="I28" s="111">
        <f t="shared" si="6"/>
        <v>15748031.496062992</v>
      </c>
      <c r="J28" s="111">
        <f t="shared" si="7"/>
        <v>0</v>
      </c>
      <c r="K28" s="111">
        <f t="shared" si="8"/>
        <v>15748031.496062992</v>
      </c>
      <c r="L28" s="111"/>
      <c r="M28" s="111">
        <f t="shared" si="9"/>
        <v>0</v>
      </c>
      <c r="N28" s="111"/>
    </row>
    <row r="29" spans="1:14" ht="55.1">
      <c r="A29" s="1">
        <v>22</v>
      </c>
      <c r="B29" s="204" t="s">
        <v>285</v>
      </c>
      <c r="C29" s="203">
        <v>1000000</v>
      </c>
      <c r="D29" s="203">
        <v>0</v>
      </c>
      <c r="E29" s="111"/>
      <c r="F29" s="111"/>
      <c r="G29" s="111"/>
      <c r="H29" s="111"/>
      <c r="I29" s="111">
        <f t="shared" si="6"/>
        <v>1000000</v>
      </c>
      <c r="J29" s="111">
        <f t="shared" si="7"/>
        <v>0</v>
      </c>
      <c r="K29" s="111">
        <f t="shared" si="8"/>
        <v>1000000</v>
      </c>
      <c r="L29" s="111"/>
      <c r="M29" s="111">
        <f t="shared" si="9"/>
        <v>0</v>
      </c>
      <c r="N29" s="111"/>
    </row>
    <row r="30" spans="1:14" ht="18.350000000000001">
      <c r="A30" s="1">
        <v>23</v>
      </c>
      <c r="B30" s="204" t="s">
        <v>264</v>
      </c>
      <c r="C30" s="203">
        <v>8000000</v>
      </c>
      <c r="D30" s="203">
        <v>9228465</v>
      </c>
      <c r="E30" s="111"/>
      <c r="F30" s="111"/>
      <c r="G30" s="111"/>
      <c r="H30" s="111"/>
      <c r="I30" s="111">
        <f t="shared" si="6"/>
        <v>8000000</v>
      </c>
      <c r="J30" s="111">
        <f t="shared" si="7"/>
        <v>9228465</v>
      </c>
      <c r="K30" s="111">
        <f t="shared" si="8"/>
        <v>8000000</v>
      </c>
      <c r="L30" s="111"/>
      <c r="M30" s="111">
        <f t="shared" si="9"/>
        <v>9228465</v>
      </c>
      <c r="N30" s="111"/>
    </row>
    <row r="31" spans="1:14" ht="18.350000000000001">
      <c r="A31" s="1">
        <v>24</v>
      </c>
      <c r="B31" s="204" t="s">
        <v>265</v>
      </c>
      <c r="C31" s="212">
        <v>6000000</v>
      </c>
      <c r="D31" s="212">
        <v>0</v>
      </c>
      <c r="E31" s="111"/>
      <c r="F31" s="111"/>
      <c r="G31" s="111"/>
      <c r="H31" s="111"/>
      <c r="I31" s="111">
        <f t="shared" si="6"/>
        <v>6000000</v>
      </c>
      <c r="J31" s="111">
        <f t="shared" si="7"/>
        <v>0</v>
      </c>
      <c r="K31" s="111">
        <f t="shared" si="8"/>
        <v>6000000</v>
      </c>
      <c r="L31" s="111"/>
      <c r="M31" s="111">
        <f t="shared" si="9"/>
        <v>0</v>
      </c>
      <c r="N31" s="111"/>
    </row>
    <row r="32" spans="1:14" ht="18.350000000000001">
      <c r="A32" s="1">
        <v>25</v>
      </c>
      <c r="B32" s="219" t="s">
        <v>286</v>
      </c>
      <c r="C32" s="220">
        <v>0</v>
      </c>
      <c r="D32" s="220">
        <v>2930000</v>
      </c>
      <c r="E32" s="111"/>
      <c r="F32" s="111"/>
      <c r="G32" s="111"/>
      <c r="H32" s="111"/>
      <c r="I32" s="111">
        <f t="shared" si="6"/>
        <v>0</v>
      </c>
      <c r="J32" s="111">
        <f t="shared" si="7"/>
        <v>2930000</v>
      </c>
      <c r="K32" s="111">
        <f t="shared" si="8"/>
        <v>0</v>
      </c>
      <c r="L32" s="111"/>
      <c r="M32" s="111">
        <f t="shared" si="9"/>
        <v>2930000</v>
      </c>
      <c r="N32" s="111"/>
    </row>
    <row r="33" spans="1:14" ht="18.350000000000001">
      <c r="A33" s="1">
        <v>26</v>
      </c>
      <c r="B33" s="219" t="s">
        <v>266</v>
      </c>
      <c r="C33" s="220">
        <v>7000000</v>
      </c>
      <c r="D33" s="220">
        <v>0</v>
      </c>
      <c r="E33" s="111"/>
      <c r="F33" s="111"/>
      <c r="G33" s="111"/>
      <c r="H33" s="111"/>
      <c r="I33" s="111">
        <f t="shared" si="6"/>
        <v>7000000</v>
      </c>
      <c r="J33" s="111">
        <f t="shared" si="7"/>
        <v>0</v>
      </c>
      <c r="K33" s="111">
        <f t="shared" si="8"/>
        <v>7000000</v>
      </c>
      <c r="L33" s="111"/>
      <c r="M33" s="111">
        <f t="shared" si="9"/>
        <v>0</v>
      </c>
      <c r="N33" s="111"/>
    </row>
    <row r="34" spans="1:14" ht="18.350000000000001">
      <c r="A34" s="1">
        <v>27</v>
      </c>
      <c r="B34" s="221" t="s">
        <v>287</v>
      </c>
      <c r="C34" s="220">
        <v>0</v>
      </c>
      <c r="D34" s="220">
        <f>1600000+7870000+500000+46421860+310000</f>
        <v>56701860</v>
      </c>
      <c r="E34" s="111"/>
      <c r="F34" s="111"/>
      <c r="G34" s="111"/>
      <c r="H34" s="111"/>
      <c r="I34" s="111">
        <f t="shared" si="6"/>
        <v>0</v>
      </c>
      <c r="J34" s="111">
        <f t="shared" si="7"/>
        <v>56701860</v>
      </c>
      <c r="K34" s="111">
        <f t="shared" si="8"/>
        <v>0</v>
      </c>
      <c r="L34" s="111"/>
      <c r="M34" s="111">
        <f t="shared" si="9"/>
        <v>56701860</v>
      </c>
      <c r="N34" s="111"/>
    </row>
    <row r="35" spans="1:14" ht="18.350000000000001">
      <c r="B35" s="221" t="s">
        <v>288</v>
      </c>
      <c r="C35" s="220">
        <v>0</v>
      </c>
      <c r="D35" s="220">
        <v>12600000</v>
      </c>
      <c r="E35" s="111"/>
      <c r="F35" s="111"/>
      <c r="G35" s="111"/>
      <c r="H35" s="111"/>
      <c r="I35" s="111">
        <f t="shared" si="6"/>
        <v>0</v>
      </c>
      <c r="J35" s="111">
        <f t="shared" si="7"/>
        <v>12600000</v>
      </c>
      <c r="K35" s="111">
        <f t="shared" si="8"/>
        <v>0</v>
      </c>
      <c r="L35" s="111"/>
      <c r="M35" s="111">
        <f t="shared" si="9"/>
        <v>12600000</v>
      </c>
      <c r="N35" s="111"/>
    </row>
    <row r="36" spans="1:14" ht="18.350000000000001">
      <c r="A36" s="1">
        <v>28</v>
      </c>
      <c r="B36" s="213" t="s">
        <v>225</v>
      </c>
      <c r="C36" s="214">
        <f>47626087-270000</f>
        <v>47356087</v>
      </c>
      <c r="D36" s="214">
        <v>23359890</v>
      </c>
      <c r="E36" s="111"/>
      <c r="F36" s="111"/>
      <c r="G36" s="111"/>
      <c r="H36" s="111"/>
      <c r="I36" s="111">
        <f t="shared" si="6"/>
        <v>47356087</v>
      </c>
      <c r="J36" s="111">
        <f t="shared" si="7"/>
        <v>23359890</v>
      </c>
      <c r="K36" s="111">
        <f t="shared" si="8"/>
        <v>47356087</v>
      </c>
      <c r="L36" s="111"/>
      <c r="M36" s="111">
        <f t="shared" si="9"/>
        <v>23359890</v>
      </c>
      <c r="N36" s="111"/>
    </row>
    <row r="37" spans="1:14" ht="18.350000000000001">
      <c r="A37" s="1">
        <v>29</v>
      </c>
      <c r="B37" s="88" t="s">
        <v>93</v>
      </c>
      <c r="C37" s="112">
        <f>SUM(C8:C36)</f>
        <v>243749000.38582677</v>
      </c>
      <c r="D37" s="112">
        <f>SUM(D8:D36)</f>
        <v>170596319</v>
      </c>
      <c r="E37" s="112">
        <f>SUM(E8:E33)</f>
        <v>0</v>
      </c>
      <c r="F37" s="112">
        <f>SUM(F8:F33)</f>
        <v>0</v>
      </c>
      <c r="G37" s="112">
        <f>SUM(G8:G33)</f>
        <v>0</v>
      </c>
      <c r="H37" s="112">
        <f>SUM(H8:H33)</f>
        <v>0</v>
      </c>
      <c r="I37" s="112">
        <f>SUM(I8:I36)</f>
        <v>243749000.38582677</v>
      </c>
      <c r="J37" s="112">
        <f t="shared" ref="J37:N37" si="10">SUM(J8:J36)</f>
        <v>170596319</v>
      </c>
      <c r="K37" s="112">
        <f t="shared" si="10"/>
        <v>243749000.38582677</v>
      </c>
      <c r="L37" s="112">
        <f t="shared" si="10"/>
        <v>0</v>
      </c>
      <c r="M37" s="112">
        <f t="shared" si="10"/>
        <v>170596319</v>
      </c>
      <c r="N37" s="112">
        <f t="shared" si="10"/>
        <v>0</v>
      </c>
    </row>
    <row r="38" spans="1:14" ht="18.350000000000001"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</row>
    <row r="39" spans="1:14" ht="23.3">
      <c r="B39" s="91"/>
      <c r="D39" s="93"/>
      <c r="F39" s="94"/>
    </row>
    <row r="40" spans="1:14" ht="18.350000000000001">
      <c r="B40" s="95" t="s">
        <v>100</v>
      </c>
    </row>
    <row r="41" spans="1:14" ht="59.3">
      <c r="B41" s="84" t="s">
        <v>0</v>
      </c>
      <c r="C41" s="47" t="s">
        <v>1</v>
      </c>
      <c r="D41" s="47" t="s">
        <v>75</v>
      </c>
      <c r="E41" s="47" t="s">
        <v>2</v>
      </c>
      <c r="F41" s="47" t="s">
        <v>105</v>
      </c>
      <c r="G41" s="47" t="s">
        <v>69</v>
      </c>
      <c r="H41" s="47" t="s">
        <v>106</v>
      </c>
      <c r="I41" s="54" t="s">
        <v>3</v>
      </c>
      <c r="J41" s="54" t="s">
        <v>4</v>
      </c>
      <c r="K41" s="54" t="s">
        <v>67</v>
      </c>
      <c r="L41" s="54" t="s">
        <v>68</v>
      </c>
      <c r="M41" s="54" t="s">
        <v>70</v>
      </c>
      <c r="N41" s="54" t="s">
        <v>71</v>
      </c>
    </row>
    <row r="42" spans="1:14" ht="15.55">
      <c r="B42" s="85" t="s">
        <v>5</v>
      </c>
      <c r="C42" s="85" t="s">
        <v>6</v>
      </c>
      <c r="D42" s="85" t="s">
        <v>7</v>
      </c>
      <c r="E42" s="85" t="s">
        <v>8</v>
      </c>
      <c r="F42" s="85" t="s">
        <v>9</v>
      </c>
      <c r="G42" s="85" t="s">
        <v>10</v>
      </c>
      <c r="H42" s="85" t="s">
        <v>11</v>
      </c>
      <c r="I42" s="85" t="s">
        <v>12</v>
      </c>
      <c r="J42" s="85" t="s">
        <v>13</v>
      </c>
      <c r="K42" s="85" t="s">
        <v>14</v>
      </c>
      <c r="L42" s="85" t="s">
        <v>15</v>
      </c>
      <c r="M42" s="85" t="s">
        <v>16</v>
      </c>
      <c r="N42" s="85" t="s">
        <v>226</v>
      </c>
    </row>
    <row r="43" spans="1:14" ht="18.350000000000001">
      <c r="A43" s="1">
        <v>1</v>
      </c>
      <c r="B43" s="202" t="s">
        <v>224</v>
      </c>
      <c r="C43" s="203">
        <v>1000000</v>
      </c>
      <c r="D43" s="203">
        <v>1260400</v>
      </c>
      <c r="E43" s="111"/>
      <c r="F43" s="111"/>
      <c r="G43" s="111"/>
      <c r="H43" s="111"/>
      <c r="I43" s="111">
        <f>C43+E43+G43</f>
        <v>1000000</v>
      </c>
      <c r="J43" s="111">
        <f>D43+F43+H43</f>
        <v>1260400</v>
      </c>
      <c r="K43" s="111">
        <f>C43</f>
        <v>1000000</v>
      </c>
      <c r="L43" s="111"/>
      <c r="M43" s="111">
        <f>J43</f>
        <v>1260400</v>
      </c>
      <c r="N43" s="111"/>
    </row>
    <row r="44" spans="1:14" ht="18.350000000000001">
      <c r="A44" s="1">
        <v>2</v>
      </c>
      <c r="B44" s="187" t="s">
        <v>225</v>
      </c>
      <c r="C44" s="205">
        <f>C43*0.27</f>
        <v>270000</v>
      </c>
      <c r="D44" s="205">
        <v>0</v>
      </c>
      <c r="E44" s="86"/>
      <c r="F44" s="86"/>
      <c r="G44" s="86"/>
      <c r="H44" s="86"/>
      <c r="I44" s="111">
        <f>C44+E44+G44</f>
        <v>270000</v>
      </c>
      <c r="J44" s="111">
        <f>D44+F44+H44</f>
        <v>0</v>
      </c>
      <c r="K44" s="111">
        <f>C44</f>
        <v>270000</v>
      </c>
      <c r="L44" s="111"/>
      <c r="M44" s="111">
        <f>D44</f>
        <v>0</v>
      </c>
      <c r="N44" s="86"/>
    </row>
    <row r="45" spans="1:14" ht="18.350000000000001">
      <c r="A45" s="1">
        <v>3</v>
      </c>
      <c r="B45" s="88" t="s">
        <v>93</v>
      </c>
      <c r="C45" s="206">
        <f>SUM(C43:C44)</f>
        <v>1270000</v>
      </c>
      <c r="D45" s="206">
        <f>SUM(D43:D44)</f>
        <v>1260400</v>
      </c>
      <c r="E45" s="206">
        <f>SUM(E44:E44)</f>
        <v>0</v>
      </c>
      <c r="F45" s="206">
        <f>SUM(F44:F44)</f>
        <v>0</v>
      </c>
      <c r="G45" s="206">
        <f>SUM(G44:G44)</f>
        <v>0</v>
      </c>
      <c r="H45" s="206">
        <f>SUM(H44:H44)</f>
        <v>0</v>
      </c>
      <c r="I45" s="206">
        <f>SUM(I43:I44)</f>
        <v>1270000</v>
      </c>
      <c r="J45" s="206">
        <f>SUM(J43:J44)</f>
        <v>1260400</v>
      </c>
      <c r="K45" s="206">
        <f>SUM(K43:K44)</f>
        <v>1270000</v>
      </c>
      <c r="L45" s="206">
        <f>SUM(L44:L44)</f>
        <v>0</v>
      </c>
      <c r="M45" s="206">
        <f>SUM(M43:M44)</f>
        <v>1260400</v>
      </c>
      <c r="N45" s="206">
        <f>SUM(N44:N44)</f>
        <v>0</v>
      </c>
    </row>
    <row r="46" spans="1:14" ht="17.649999999999999">
      <c r="B46" s="91"/>
      <c r="C46" s="92"/>
      <c r="D46" s="93"/>
      <c r="E46" s="92"/>
      <c r="F46" s="92"/>
      <c r="G46" s="92"/>
      <c r="H46" s="92"/>
      <c r="I46" s="92"/>
      <c r="J46" s="92"/>
      <c r="K46" s="92"/>
      <c r="L46" s="92"/>
      <c r="M46" s="92"/>
      <c r="N46" s="92"/>
    </row>
    <row r="47" spans="1:14" ht="18.350000000000001">
      <c r="B47" s="9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</row>
    <row r="48" spans="1:14" ht="17.649999999999999">
      <c r="B48" s="91" t="s">
        <v>183</v>
      </c>
    </row>
    <row r="49" spans="1:14" ht="59.3">
      <c r="B49" s="84" t="s">
        <v>0</v>
      </c>
      <c r="C49" s="47" t="s">
        <v>1</v>
      </c>
      <c r="D49" s="47" t="s">
        <v>75</v>
      </c>
      <c r="E49" s="47" t="s">
        <v>2</v>
      </c>
      <c r="F49" s="47" t="s">
        <v>105</v>
      </c>
      <c r="G49" s="47" t="s">
        <v>69</v>
      </c>
      <c r="H49" s="47" t="s">
        <v>106</v>
      </c>
      <c r="I49" s="54" t="s">
        <v>3</v>
      </c>
      <c r="J49" s="54" t="s">
        <v>4</v>
      </c>
      <c r="K49" s="54" t="s">
        <v>67</v>
      </c>
      <c r="L49" s="54" t="s">
        <v>68</v>
      </c>
      <c r="M49" s="54" t="s">
        <v>70</v>
      </c>
      <c r="N49" s="54" t="s">
        <v>71</v>
      </c>
    </row>
    <row r="50" spans="1:14" ht="15.55">
      <c r="B50" s="85" t="s">
        <v>5</v>
      </c>
      <c r="C50" s="85" t="s">
        <v>6</v>
      </c>
      <c r="D50" s="85" t="s">
        <v>7</v>
      </c>
      <c r="E50" s="85" t="s">
        <v>8</v>
      </c>
      <c r="F50" s="85" t="s">
        <v>9</v>
      </c>
      <c r="G50" s="85" t="s">
        <v>10</v>
      </c>
      <c r="H50" s="85" t="s">
        <v>11</v>
      </c>
      <c r="I50" s="85" t="s">
        <v>12</v>
      </c>
      <c r="J50" s="85" t="s">
        <v>13</v>
      </c>
      <c r="K50" s="85" t="s">
        <v>14</v>
      </c>
      <c r="L50" s="85" t="s">
        <v>15</v>
      </c>
      <c r="M50" s="85" t="s">
        <v>16</v>
      </c>
      <c r="N50" s="85" t="s">
        <v>226</v>
      </c>
    </row>
    <row r="51" spans="1:14" ht="18.350000000000001">
      <c r="A51" s="1">
        <v>1</v>
      </c>
      <c r="B51" s="98"/>
      <c r="C51" s="99"/>
      <c r="D51" s="100"/>
      <c r="E51" s="99"/>
      <c r="F51" s="99"/>
      <c r="G51" s="99"/>
      <c r="H51" s="99"/>
      <c r="I51" s="87"/>
      <c r="J51" s="101"/>
      <c r="K51" s="87"/>
      <c r="L51" s="99"/>
      <c r="M51" s="101"/>
      <c r="N51" s="99"/>
    </row>
    <row r="52" spans="1:14" ht="18.350000000000001">
      <c r="A52" s="1">
        <v>2</v>
      </c>
      <c r="B52" s="102"/>
      <c r="C52" s="99"/>
      <c r="D52" s="103"/>
      <c r="E52" s="99"/>
      <c r="F52" s="99"/>
      <c r="G52" s="99"/>
      <c r="H52" s="99"/>
      <c r="I52" s="87"/>
      <c r="J52" s="99"/>
      <c r="K52" s="87"/>
      <c r="L52" s="99"/>
      <c r="M52" s="101"/>
      <c r="N52" s="99"/>
    </row>
    <row r="53" spans="1:14" ht="18.350000000000001">
      <c r="A53" s="1">
        <v>3</v>
      </c>
      <c r="B53" s="88" t="s">
        <v>93</v>
      </c>
      <c r="C53" s="87">
        <f>SUM(C51:C52)</f>
        <v>0</v>
      </c>
      <c r="D53" s="87">
        <f>SUM(D51:D52)</f>
        <v>0</v>
      </c>
      <c r="E53" s="87">
        <f t="shared" ref="E53:N53" si="11">SUM(E50:E52)</f>
        <v>0</v>
      </c>
      <c r="F53" s="87">
        <f t="shared" si="11"/>
        <v>0</v>
      </c>
      <c r="G53" s="87">
        <f t="shared" si="11"/>
        <v>0</v>
      </c>
      <c r="H53" s="87">
        <f t="shared" si="11"/>
        <v>0</v>
      </c>
      <c r="I53" s="87">
        <f t="shared" si="11"/>
        <v>0</v>
      </c>
      <c r="J53" s="87">
        <f t="shared" si="11"/>
        <v>0</v>
      </c>
      <c r="K53" s="87">
        <f t="shared" si="11"/>
        <v>0</v>
      </c>
      <c r="L53" s="87">
        <f t="shared" si="11"/>
        <v>0</v>
      </c>
      <c r="M53" s="87">
        <f t="shared" si="11"/>
        <v>0</v>
      </c>
      <c r="N53" s="87">
        <f t="shared" si="11"/>
        <v>0</v>
      </c>
    </row>
    <row r="54" spans="1:14" ht="17.649999999999999">
      <c r="B54" s="104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1:14" ht="18.350000000000001">
      <c r="B55" s="96" t="s">
        <v>101</v>
      </c>
      <c r="C55" s="97">
        <f>C37+C45</f>
        <v>245019000.38582677</v>
      </c>
      <c r="D55" s="97">
        <f>D45+D53+D37</f>
        <v>171856719</v>
      </c>
      <c r="E55" s="97">
        <f>E37+E45</f>
        <v>0</v>
      </c>
      <c r="F55" s="97">
        <f>F37+F45</f>
        <v>0</v>
      </c>
      <c r="G55" s="97">
        <f>G37+G45</f>
        <v>0</v>
      </c>
      <c r="H55" s="97">
        <f>H37+H45</f>
        <v>0</v>
      </c>
      <c r="I55" s="97">
        <f>I37+I45+I53</f>
        <v>245019000.38582677</v>
      </c>
      <c r="J55" s="97">
        <f>J37+J45</f>
        <v>171856719</v>
      </c>
      <c r="K55" s="97">
        <f>K37+K45+K53</f>
        <v>245019000.38582677</v>
      </c>
      <c r="L55" s="97">
        <f>L37+L45</f>
        <v>0</v>
      </c>
      <c r="M55" s="97">
        <f>M37+M45</f>
        <v>171856719</v>
      </c>
      <c r="N55" s="97">
        <f>N37+N45</f>
        <v>0</v>
      </c>
    </row>
    <row r="56" spans="1:14" ht="18.350000000000001">
      <c r="B56" s="96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</row>
    <row r="57" spans="1:14">
      <c r="B57" s="232" t="s">
        <v>227</v>
      </c>
      <c r="C57" s="232"/>
      <c r="D57" s="232"/>
      <c r="E57" s="232"/>
      <c r="F57" s="232"/>
      <c r="G57" s="232"/>
      <c r="H57" s="232"/>
      <c r="I57" s="232"/>
    </row>
    <row r="59" spans="1:14" ht="72">
      <c r="B59" s="44" t="s">
        <v>0</v>
      </c>
      <c r="C59" s="106" t="s">
        <v>102</v>
      </c>
      <c r="D59" s="106" t="s">
        <v>103</v>
      </c>
      <c r="E59" s="106" t="s">
        <v>104</v>
      </c>
      <c r="F59" s="106" t="s">
        <v>104</v>
      </c>
      <c r="G59" s="106" t="s">
        <v>104</v>
      </c>
      <c r="H59" s="106" t="s">
        <v>104</v>
      </c>
      <c r="I59" s="106" t="s">
        <v>104</v>
      </c>
      <c r="J59" s="106" t="s">
        <v>104</v>
      </c>
      <c r="K59" s="1"/>
      <c r="L59" s="1"/>
      <c r="M59" s="1"/>
      <c r="N59" s="1"/>
    </row>
    <row r="60" spans="1:14">
      <c r="B60" s="107"/>
      <c r="C60" s="108"/>
      <c r="D60" s="108"/>
      <c r="E60" s="108"/>
      <c r="F60" s="108"/>
      <c r="G60" s="108"/>
      <c r="H60" s="108"/>
      <c r="I60" s="108"/>
      <c r="J60" s="108"/>
      <c r="K60" s="1"/>
      <c r="L60" s="1"/>
      <c r="M60" s="1"/>
      <c r="N60" s="1"/>
    </row>
    <row r="61" spans="1:14" ht="15.55">
      <c r="B61" s="109" t="s">
        <v>92</v>
      </c>
      <c r="C61" s="108"/>
      <c r="D61" s="108"/>
      <c r="E61" s="108"/>
      <c r="F61" s="108"/>
      <c r="G61" s="108"/>
      <c r="H61" s="108"/>
      <c r="I61" s="108"/>
      <c r="J61" s="108"/>
      <c r="K61" s="1"/>
      <c r="L61" s="1"/>
      <c r="M61" s="1"/>
      <c r="N61" s="1" t="s">
        <v>311</v>
      </c>
    </row>
    <row r="64" spans="1:14" ht="15.55">
      <c r="B64" s="110"/>
    </row>
    <row r="74" spans="2:14" ht="17.649999999999999">
      <c r="B74" s="104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2:14" ht="17.649999999999999"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2:14" ht="17.649999999999999">
      <c r="B76" s="104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2:14" ht="17.649999999999999">
      <c r="B77" s="104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8" spans="2:14" ht="17.649999999999999">
      <c r="B78" s="104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</row>
    <row r="79" spans="2:14" ht="17.649999999999999">
      <c r="B79" s="104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0" spans="2:14" ht="17.649999999999999">
      <c r="B80" s="104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  <row r="81" spans="2:14" ht="17.649999999999999"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2:14" ht="17.649999999999999"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</row>
    <row r="83" spans="2:14" ht="17.649999999999999"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2:14" ht="17.649999999999999"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</row>
    <row r="85" spans="2:14" ht="17.649999999999999"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</row>
    <row r="86" spans="2:14" ht="17.649999999999999"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</row>
    <row r="87" spans="2:14" ht="17.649999999999999"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</row>
    <row r="88" spans="2:14" ht="17.649999999999999"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</row>
    <row r="89" spans="2:14" ht="17.649999999999999"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</row>
  </sheetData>
  <mergeCells count="3">
    <mergeCell ref="B57:I57"/>
    <mergeCell ref="B1:N1"/>
    <mergeCell ref="J3:N3"/>
  </mergeCells>
  <phoneticPr fontId="5" type="noConversion"/>
  <pageMargins left="0.47244094488188981" right="0.43307086614173229" top="0.45" bottom="0.42" header="0.31496062992125984" footer="0.31496062992125984"/>
  <pageSetup paperSize="9" scale="45" orientation="landscape" r:id="rId1"/>
  <rowBreaks count="1" manualBreakCount="1">
    <brk id="4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60" zoomScaleNormal="75" workbookViewId="0">
      <selection activeCell="H23" sqref="H23"/>
    </sheetView>
  </sheetViews>
  <sheetFormatPr defaultColWidth="9.125" defaultRowHeight="12.7"/>
  <cols>
    <col min="1" max="1" width="5.5" style="1" customWidth="1"/>
    <col min="2" max="2" width="73.125" style="1" customWidth="1"/>
    <col min="3" max="4" width="17.875" style="1" customWidth="1"/>
    <col min="5" max="8" width="21.375" style="1" customWidth="1"/>
    <col min="9" max="16384" width="9.125" style="1"/>
  </cols>
  <sheetData>
    <row r="1" spans="1:24">
      <c r="B1" s="229" t="s">
        <v>305</v>
      </c>
      <c r="C1" s="229"/>
      <c r="D1" s="229"/>
      <c r="E1" s="229"/>
      <c r="F1" s="229"/>
      <c r="G1" s="229"/>
      <c r="H1" s="229"/>
    </row>
    <row r="2" spans="1:24">
      <c r="B2" s="224"/>
      <c r="C2" s="224"/>
      <c r="D2" s="224"/>
      <c r="E2" s="224"/>
      <c r="F2" s="224" t="s">
        <v>317</v>
      </c>
      <c r="G2" s="224"/>
      <c r="H2" s="224"/>
    </row>
    <row r="3" spans="1:24">
      <c r="B3" s="42"/>
      <c r="C3" s="42"/>
      <c r="D3" s="229"/>
      <c r="E3" s="229"/>
      <c r="F3" s="229"/>
      <c r="G3" s="229"/>
      <c r="H3" s="229"/>
    </row>
    <row r="4" spans="1:24" ht="20.5">
      <c r="B4" s="43" t="s">
        <v>109</v>
      </c>
    </row>
    <row r="5" spans="1:24" ht="20.5">
      <c r="B5" s="43"/>
      <c r="G5" s="1" t="s">
        <v>84</v>
      </c>
    </row>
    <row r="6" spans="1:24" ht="59.3">
      <c r="B6" s="53" t="s">
        <v>0</v>
      </c>
      <c r="C6" s="47" t="s">
        <v>1</v>
      </c>
      <c r="D6" s="47" t="s">
        <v>63</v>
      </c>
      <c r="E6" s="54" t="s">
        <v>67</v>
      </c>
      <c r="F6" s="54" t="s">
        <v>68</v>
      </c>
      <c r="G6" s="54" t="s">
        <v>70</v>
      </c>
      <c r="H6" s="54" t="s">
        <v>71</v>
      </c>
      <c r="J6" s="3"/>
    </row>
    <row r="7" spans="1:24" ht="14.15">
      <c r="B7" s="47" t="s">
        <v>5</v>
      </c>
      <c r="C7" s="47" t="s">
        <v>6</v>
      </c>
      <c r="D7" s="47" t="s">
        <v>7</v>
      </c>
      <c r="E7" s="47" t="s">
        <v>8</v>
      </c>
      <c r="F7" s="47" t="s">
        <v>77</v>
      </c>
      <c r="G7" s="47" t="s">
        <v>10</v>
      </c>
      <c r="H7" s="47" t="s">
        <v>11</v>
      </c>
    </row>
    <row r="8" spans="1:24" ht="16.25">
      <c r="A8" s="1">
        <v>1</v>
      </c>
      <c r="B8" s="7" t="s">
        <v>149</v>
      </c>
      <c r="C8" s="56">
        <v>14227000</v>
      </c>
      <c r="D8" s="56">
        <v>13626660</v>
      </c>
      <c r="E8" s="58"/>
      <c r="F8" s="56">
        <f>C8</f>
        <v>14227000</v>
      </c>
      <c r="G8" s="56"/>
      <c r="H8" s="56">
        <f>D8</f>
        <v>13626660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25">
      <c r="A9" s="1">
        <v>2</v>
      </c>
      <c r="B9" s="7" t="s">
        <v>150</v>
      </c>
      <c r="C9" s="56">
        <v>3300000</v>
      </c>
      <c r="D9" s="56">
        <v>1800000</v>
      </c>
      <c r="E9" s="58"/>
      <c r="F9" s="56">
        <f>C9</f>
        <v>3300000</v>
      </c>
      <c r="G9" s="56"/>
      <c r="H9" s="56">
        <f>D9</f>
        <v>1800000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25">
      <c r="A10" s="1">
        <v>3</v>
      </c>
      <c r="B10" s="7" t="s">
        <v>151</v>
      </c>
      <c r="C10" s="56">
        <f>33000000+7000000+3000000</f>
        <v>43000000</v>
      </c>
      <c r="D10" s="56">
        <v>44490327</v>
      </c>
      <c r="E10" s="58"/>
      <c r="F10" s="56">
        <f>C10</f>
        <v>43000000</v>
      </c>
      <c r="G10" s="56"/>
      <c r="H10" s="56">
        <f>D10</f>
        <v>44490327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25">
      <c r="A11" s="1">
        <v>4</v>
      </c>
      <c r="B11" s="7" t="s">
        <v>152</v>
      </c>
      <c r="C11" s="56">
        <v>1200000</v>
      </c>
      <c r="D11" s="56">
        <v>489283</v>
      </c>
      <c r="E11" s="58"/>
      <c r="F11" s="56">
        <f>C11</f>
        <v>1200000</v>
      </c>
      <c r="G11" s="56"/>
      <c r="H11" s="56">
        <f>D11</f>
        <v>489283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8.25">
      <c r="A12" s="1">
        <v>5</v>
      </c>
      <c r="B12" s="7" t="s">
        <v>289</v>
      </c>
      <c r="C12" s="56">
        <v>200000</v>
      </c>
      <c r="D12" s="56">
        <f>15955600+720000</f>
        <v>16675600</v>
      </c>
      <c r="E12" s="58"/>
      <c r="F12" s="56">
        <f>C12</f>
        <v>200000</v>
      </c>
      <c r="G12" s="56"/>
      <c r="H12" s="56">
        <f>D12</f>
        <v>16675600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32.299999999999997" customHeight="1">
      <c r="A13" s="1">
        <v>6</v>
      </c>
      <c r="B13" s="50" t="s">
        <v>107</v>
      </c>
      <c r="C13" s="58">
        <f t="shared" ref="C13:H13" si="0">SUM(C8:C12)</f>
        <v>61927000</v>
      </c>
      <c r="D13" s="58">
        <f t="shared" si="0"/>
        <v>77081870</v>
      </c>
      <c r="E13" s="58">
        <f t="shared" si="0"/>
        <v>0</v>
      </c>
      <c r="F13" s="58">
        <f t="shared" si="0"/>
        <v>61927000</v>
      </c>
      <c r="G13" s="58">
        <f t="shared" si="0"/>
        <v>0</v>
      </c>
      <c r="H13" s="58">
        <f t="shared" si="0"/>
        <v>77081870</v>
      </c>
      <c r="I13" s="59"/>
      <c r="J13" s="59"/>
      <c r="K13" s="59"/>
      <c r="L13" s="59"/>
      <c r="M13" s="59"/>
      <c r="N13" s="59"/>
      <c r="O13" s="59"/>
      <c r="P13" s="59"/>
      <c r="Q13" s="113"/>
      <c r="R13" s="60"/>
      <c r="S13" s="60"/>
      <c r="T13" s="60"/>
      <c r="U13" s="60"/>
      <c r="V13" s="60"/>
      <c r="W13" s="60"/>
      <c r="X13" s="60"/>
    </row>
    <row r="14" spans="1:24" ht="32.299999999999997" customHeight="1">
      <c r="B14" s="114"/>
      <c r="C14" s="71"/>
      <c r="D14" s="71"/>
      <c r="E14" s="71"/>
      <c r="F14" s="71"/>
      <c r="G14" s="71"/>
      <c r="H14" s="71"/>
      <c r="I14" s="59"/>
      <c r="J14" s="59"/>
      <c r="K14" s="59"/>
      <c r="L14" s="59"/>
      <c r="M14" s="59"/>
      <c r="N14" s="59"/>
      <c r="O14" s="59"/>
      <c r="P14" s="59"/>
      <c r="Q14" s="113"/>
      <c r="R14" s="60"/>
      <c r="S14" s="60"/>
      <c r="T14" s="60"/>
      <c r="U14" s="60"/>
      <c r="V14" s="60"/>
      <c r="W14" s="60"/>
      <c r="X14" s="60"/>
    </row>
    <row r="15" spans="1:24" ht="59.3">
      <c r="B15" s="53" t="s">
        <v>0</v>
      </c>
      <c r="C15" s="47" t="s">
        <v>1</v>
      </c>
      <c r="D15" s="47" t="s">
        <v>63</v>
      </c>
      <c r="E15" s="54" t="s">
        <v>67</v>
      </c>
      <c r="F15" s="54" t="s">
        <v>68</v>
      </c>
      <c r="G15" s="54" t="s">
        <v>70</v>
      </c>
      <c r="H15" s="54" t="s">
        <v>71</v>
      </c>
    </row>
    <row r="16" spans="1:24" ht="14.15">
      <c r="B16" s="53" t="s">
        <v>5</v>
      </c>
      <c r="C16" s="47" t="s">
        <v>6</v>
      </c>
      <c r="D16" s="47" t="s">
        <v>7</v>
      </c>
      <c r="E16" s="47" t="s">
        <v>8</v>
      </c>
      <c r="F16" s="47" t="s">
        <v>77</v>
      </c>
      <c r="G16" s="47" t="s">
        <v>10</v>
      </c>
      <c r="H16" s="47" t="s">
        <v>11</v>
      </c>
    </row>
    <row r="17" spans="1:24" ht="16.25">
      <c r="A17" s="1">
        <v>1</v>
      </c>
      <c r="B17" s="7" t="s">
        <v>154</v>
      </c>
      <c r="C17" s="56"/>
      <c r="D17" s="56"/>
      <c r="E17" s="58"/>
      <c r="F17" s="56">
        <f>C17</f>
        <v>0</v>
      </c>
      <c r="G17" s="56"/>
      <c r="H17" s="56">
        <f>D17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.25">
      <c r="A18" s="1">
        <v>2</v>
      </c>
      <c r="B18" s="7" t="s">
        <v>155</v>
      </c>
      <c r="C18" s="56"/>
      <c r="D18" s="56"/>
      <c r="E18" s="58"/>
      <c r="F18" s="56">
        <f>C18</f>
        <v>0</v>
      </c>
      <c r="G18" s="56"/>
      <c r="H18" s="56">
        <f>D18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8.25">
      <c r="A19" s="1">
        <v>3</v>
      </c>
      <c r="B19" s="7" t="s">
        <v>290</v>
      </c>
      <c r="C19" s="56"/>
      <c r="D19" s="56">
        <v>4857030</v>
      </c>
      <c r="E19" s="58"/>
      <c r="F19" s="56">
        <f>C19</f>
        <v>0</v>
      </c>
      <c r="G19" s="56"/>
      <c r="H19" s="56">
        <f>D19</f>
        <v>4857030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25">
      <c r="A20" s="1">
        <v>4</v>
      </c>
      <c r="B20" s="7" t="s">
        <v>156</v>
      </c>
      <c r="C20" s="56"/>
      <c r="D20" s="56"/>
      <c r="E20" s="58"/>
      <c r="F20" s="56">
        <f>C20</f>
        <v>0</v>
      </c>
      <c r="G20" s="56"/>
      <c r="H20" s="56">
        <f>D20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6.25">
      <c r="A21" s="1">
        <v>5</v>
      </c>
      <c r="B21" s="7" t="s">
        <v>153</v>
      </c>
      <c r="C21" s="56"/>
      <c r="D21" s="56"/>
      <c r="E21" s="58"/>
      <c r="F21" s="56">
        <f>C21</f>
        <v>0</v>
      </c>
      <c r="G21" s="56"/>
      <c r="H21" s="56">
        <f>D21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33" customHeight="1">
      <c r="A22" s="1">
        <v>6</v>
      </c>
      <c r="B22" s="50" t="s">
        <v>108</v>
      </c>
      <c r="C22" s="58">
        <f t="shared" ref="C22:H22" si="1">SUM(C17:C21)</f>
        <v>0</v>
      </c>
      <c r="D22" s="58">
        <f t="shared" si="1"/>
        <v>4857030</v>
      </c>
      <c r="E22" s="58">
        <f t="shared" si="1"/>
        <v>0</v>
      </c>
      <c r="F22" s="58">
        <f t="shared" si="1"/>
        <v>0</v>
      </c>
      <c r="G22" s="58">
        <f t="shared" si="1"/>
        <v>0</v>
      </c>
      <c r="H22" s="58">
        <f t="shared" si="1"/>
        <v>4857030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115"/>
      <c r="T22" s="115"/>
      <c r="U22" s="115"/>
      <c r="V22" s="115"/>
      <c r="W22" s="115"/>
      <c r="X22" s="115"/>
    </row>
    <row r="23" spans="1:24" ht="14.15">
      <c r="B23" s="116"/>
      <c r="H23" s="1" t="s">
        <v>311</v>
      </c>
    </row>
    <row r="24" spans="1:24" ht="14.15">
      <c r="B24" s="116"/>
    </row>
    <row r="25" spans="1:24" ht="14.15">
      <c r="B25" s="116"/>
    </row>
    <row r="26" spans="1:24" ht="14.15">
      <c r="B26" s="116"/>
    </row>
    <row r="27" spans="1:24" ht="14.15">
      <c r="B27" s="116"/>
    </row>
    <row r="28" spans="1:24" ht="14.15">
      <c r="B28" s="116"/>
    </row>
    <row r="29" spans="1:24" ht="14.15">
      <c r="B29" s="116"/>
    </row>
    <row r="30" spans="1:24" ht="14.15">
      <c r="B30" s="116"/>
    </row>
    <row r="31" spans="1:24" ht="14.15">
      <c r="B31" s="116"/>
    </row>
    <row r="32" spans="1:24" ht="14.15">
      <c r="B32" s="116"/>
    </row>
    <row r="33" spans="2:2" ht="14.15">
      <c r="B33" s="116"/>
    </row>
    <row r="34" spans="2:2" ht="14.15">
      <c r="B34" s="116"/>
    </row>
    <row r="35" spans="2:2" ht="14.15">
      <c r="B35" s="116"/>
    </row>
  </sheetData>
  <mergeCells count="2">
    <mergeCell ref="B1:H1"/>
    <mergeCell ref="D3:H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5"/>
  <sheetViews>
    <sheetView zoomScale="75" zoomScaleNormal="75" workbookViewId="0">
      <selection activeCell="H13" sqref="H13"/>
    </sheetView>
  </sheetViews>
  <sheetFormatPr defaultColWidth="9.125" defaultRowHeight="12.7"/>
  <cols>
    <col min="1" max="1" width="9.125" style="1" customWidth="1"/>
    <col min="2" max="2" width="73.125" style="1" customWidth="1"/>
    <col min="3" max="4" width="17.875" style="1" customWidth="1"/>
    <col min="5" max="8" width="21.375" style="1" customWidth="1"/>
    <col min="9" max="16384" width="9.125" style="1"/>
  </cols>
  <sheetData>
    <row r="1" spans="1:24">
      <c r="B1" s="229" t="s">
        <v>306</v>
      </c>
      <c r="C1" s="229"/>
      <c r="D1" s="229"/>
      <c r="E1" s="229"/>
      <c r="F1" s="229"/>
      <c r="G1" s="229"/>
      <c r="H1" s="229"/>
    </row>
    <row r="2" spans="1:24">
      <c r="B2" s="224"/>
      <c r="C2" s="224"/>
      <c r="D2" s="224"/>
      <c r="E2" s="224"/>
      <c r="F2" s="224" t="s">
        <v>318</v>
      </c>
      <c r="G2" s="224"/>
      <c r="H2" s="224"/>
    </row>
    <row r="3" spans="1:24">
      <c r="B3" s="42"/>
      <c r="C3" s="42"/>
      <c r="D3" s="42"/>
      <c r="E3" s="233"/>
      <c r="F3" s="233"/>
      <c r="G3" s="233"/>
      <c r="H3" s="233"/>
    </row>
    <row r="4" spans="1:24" ht="20.5">
      <c r="B4" s="43" t="s">
        <v>157</v>
      </c>
    </row>
    <row r="5" spans="1:24" ht="20.5">
      <c r="B5" s="43"/>
      <c r="G5" s="1" t="s">
        <v>84</v>
      </c>
    </row>
    <row r="6" spans="1:24" ht="59.3">
      <c r="B6" s="53" t="s">
        <v>0</v>
      </c>
      <c r="C6" s="47" t="s">
        <v>1</v>
      </c>
      <c r="D6" s="47" t="s">
        <v>63</v>
      </c>
      <c r="E6" s="54" t="s">
        <v>67</v>
      </c>
      <c r="F6" s="54" t="s">
        <v>68</v>
      </c>
      <c r="G6" s="54" t="s">
        <v>70</v>
      </c>
      <c r="H6" s="54" t="s">
        <v>71</v>
      </c>
      <c r="J6" s="3"/>
    </row>
    <row r="7" spans="1:24" ht="14.15">
      <c r="B7" s="47" t="s">
        <v>5</v>
      </c>
      <c r="C7" s="47" t="s">
        <v>6</v>
      </c>
      <c r="D7" s="47" t="s">
        <v>7</v>
      </c>
      <c r="E7" s="47" t="s">
        <v>8</v>
      </c>
      <c r="F7" s="47" t="s">
        <v>77</v>
      </c>
      <c r="G7" s="47" t="s">
        <v>10</v>
      </c>
      <c r="H7" s="47" t="s">
        <v>11</v>
      </c>
    </row>
    <row r="8" spans="1:24" ht="25.45">
      <c r="A8" s="1">
        <v>1</v>
      </c>
      <c r="B8" s="207" t="s">
        <v>248</v>
      </c>
      <c r="C8" s="56"/>
      <c r="D8" s="56"/>
      <c r="E8" s="56"/>
      <c r="F8" s="56"/>
      <c r="G8" s="56"/>
      <c r="H8" s="5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25">
      <c r="A9" s="1">
        <v>2</v>
      </c>
      <c r="B9" s="117" t="s">
        <v>250</v>
      </c>
      <c r="C9" s="56">
        <v>12000</v>
      </c>
      <c r="D9" s="56">
        <v>24000</v>
      </c>
      <c r="E9" s="56">
        <f>C9</f>
        <v>12000</v>
      </c>
      <c r="F9" s="56"/>
      <c r="G9" s="56">
        <f>D9</f>
        <v>24000</v>
      </c>
      <c r="H9" s="5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25">
      <c r="A10" s="1">
        <v>3</v>
      </c>
      <c r="B10" s="117" t="s">
        <v>251</v>
      </c>
      <c r="C10" s="56">
        <v>1188000</v>
      </c>
      <c r="D10" s="56">
        <v>1534000</v>
      </c>
      <c r="E10" s="56">
        <f>C10</f>
        <v>1188000</v>
      </c>
      <c r="F10" s="56"/>
      <c r="G10" s="56">
        <f>D10</f>
        <v>1534000</v>
      </c>
      <c r="H10" s="5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5.45">
      <c r="A11" s="1">
        <v>4</v>
      </c>
      <c r="B11" s="117" t="s">
        <v>291</v>
      </c>
      <c r="C11" s="56">
        <v>3000000</v>
      </c>
      <c r="D11" s="56">
        <f>1206000+1001000</f>
        <v>2207000</v>
      </c>
      <c r="E11" s="56">
        <f>C11</f>
        <v>3000000</v>
      </c>
      <c r="F11" s="56"/>
      <c r="G11" s="56">
        <f>D11</f>
        <v>2207000</v>
      </c>
      <c r="H11" s="5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4.6" customHeight="1">
      <c r="A12" s="1">
        <v>5</v>
      </c>
      <c r="B12" s="50" t="s">
        <v>249</v>
      </c>
      <c r="C12" s="58">
        <f t="shared" ref="C12:H12" si="0">SUM(C8:C11)</f>
        <v>4200000</v>
      </c>
      <c r="D12" s="58">
        <f t="shared" si="0"/>
        <v>3765000</v>
      </c>
      <c r="E12" s="58">
        <f t="shared" si="0"/>
        <v>4200000</v>
      </c>
      <c r="F12" s="58">
        <f t="shared" si="0"/>
        <v>0</v>
      </c>
      <c r="G12" s="58">
        <f t="shared" si="0"/>
        <v>3765000</v>
      </c>
      <c r="H12" s="58">
        <f t="shared" si="0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4.15">
      <c r="B13" s="116"/>
      <c r="H13" s="1" t="s">
        <v>311</v>
      </c>
    </row>
    <row r="14" spans="1:24" ht="14.15">
      <c r="B14" s="116"/>
    </row>
    <row r="15" spans="1:24" ht="14.15">
      <c r="B15" s="116"/>
    </row>
  </sheetData>
  <mergeCells count="2">
    <mergeCell ref="B1:H1"/>
    <mergeCell ref="E3:H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topLeftCell="B1" zoomScale="75" zoomScaleNormal="75" workbookViewId="0">
      <selection activeCell="N19" sqref="N19"/>
    </sheetView>
  </sheetViews>
  <sheetFormatPr defaultColWidth="9.125" defaultRowHeight="12.7"/>
  <cols>
    <col min="1" max="1" width="7.375" style="1" customWidth="1"/>
    <col min="2" max="2" width="50" style="76" customWidth="1"/>
    <col min="3" max="4" width="19.5" style="21" customWidth="1"/>
    <col min="5" max="6" width="19.375" style="21" customWidth="1"/>
    <col min="7" max="8" width="17.5" style="21" customWidth="1"/>
    <col min="9" max="9" width="17.375" style="21" customWidth="1"/>
    <col min="10" max="10" width="17.5" style="21" customWidth="1"/>
    <col min="11" max="11" width="19.5" style="21" customWidth="1"/>
    <col min="12" max="12" width="18.625" style="21" customWidth="1"/>
    <col min="13" max="13" width="19.5" style="21" customWidth="1"/>
    <col min="14" max="14" width="19.625" style="21" customWidth="1"/>
    <col min="15" max="15" width="19.375" style="21" customWidth="1"/>
    <col min="16" max="16" width="19.5" style="21" customWidth="1"/>
    <col min="17" max="16384" width="9.125" style="1"/>
  </cols>
  <sheetData>
    <row r="1" spans="1:16">
      <c r="B1" s="229" t="s">
        <v>307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 t="s">
        <v>319</v>
      </c>
      <c r="M2" s="224"/>
      <c r="N2" s="224"/>
      <c r="O2" s="224"/>
      <c r="P2" s="224"/>
    </row>
    <row r="3" spans="1:16" ht="27.55">
      <c r="B3" s="118"/>
      <c r="L3" s="229"/>
      <c r="M3" s="229"/>
      <c r="N3" s="229"/>
      <c r="O3" s="229"/>
      <c r="P3" s="229"/>
    </row>
    <row r="4" spans="1:16" ht="20.5">
      <c r="B4" s="119" t="s">
        <v>110</v>
      </c>
    </row>
    <row r="5" spans="1:16" ht="20.5">
      <c r="B5" s="119"/>
      <c r="N5" s="211" t="s">
        <v>262</v>
      </c>
    </row>
    <row r="6" spans="1:16" ht="79.599999999999994" customHeight="1">
      <c r="B6" s="53" t="s">
        <v>0</v>
      </c>
      <c r="C6" s="47" t="s">
        <v>1</v>
      </c>
      <c r="D6" s="47" t="s">
        <v>63</v>
      </c>
      <c r="E6" s="47" t="s">
        <v>62</v>
      </c>
      <c r="F6" s="47" t="s">
        <v>64</v>
      </c>
      <c r="G6" s="47" t="s">
        <v>2</v>
      </c>
      <c r="H6" s="47" t="s">
        <v>65</v>
      </c>
      <c r="I6" s="47" t="s">
        <v>69</v>
      </c>
      <c r="J6" s="47" t="s">
        <v>66</v>
      </c>
      <c r="K6" s="54" t="s">
        <v>3</v>
      </c>
      <c r="L6" s="54" t="s">
        <v>4</v>
      </c>
      <c r="M6" s="54" t="s">
        <v>67</v>
      </c>
      <c r="N6" s="54" t="s">
        <v>68</v>
      </c>
      <c r="O6" s="54" t="s">
        <v>70</v>
      </c>
      <c r="P6" s="54" t="s">
        <v>71</v>
      </c>
    </row>
    <row r="7" spans="1:16" ht="14.15">
      <c r="B7" s="46" t="s">
        <v>5</v>
      </c>
      <c r="C7" s="47" t="s">
        <v>6</v>
      </c>
      <c r="D7" s="46" t="s">
        <v>7</v>
      </c>
      <c r="E7" s="47" t="s">
        <v>8</v>
      </c>
      <c r="F7" s="47" t="s">
        <v>9</v>
      </c>
      <c r="G7" s="47" t="s">
        <v>10</v>
      </c>
      <c r="H7" s="47" t="s">
        <v>11</v>
      </c>
      <c r="I7" s="47" t="s">
        <v>12</v>
      </c>
      <c r="J7" s="47" t="s">
        <v>13</v>
      </c>
      <c r="K7" s="47" t="s">
        <v>14</v>
      </c>
      <c r="L7" s="47" t="s">
        <v>15</v>
      </c>
      <c r="M7" s="47" t="s">
        <v>16</v>
      </c>
      <c r="N7" s="47" t="s">
        <v>17</v>
      </c>
      <c r="O7" s="47" t="s">
        <v>73</v>
      </c>
      <c r="P7" s="47" t="s">
        <v>74</v>
      </c>
    </row>
    <row r="8" spans="1:16" ht="14.15">
      <c r="A8" s="1">
        <v>1</v>
      </c>
      <c r="B8" s="120" t="s">
        <v>168</v>
      </c>
      <c r="C8" s="121">
        <v>3</v>
      </c>
      <c r="D8" s="121">
        <v>4</v>
      </c>
      <c r="E8" s="121">
        <v>14</v>
      </c>
      <c r="F8" s="121">
        <v>14</v>
      </c>
      <c r="G8" s="121">
        <v>3</v>
      </c>
      <c r="H8" s="121">
        <v>3</v>
      </c>
      <c r="I8" s="121">
        <v>15</v>
      </c>
      <c r="J8" s="121">
        <v>13.5</v>
      </c>
      <c r="K8" s="121">
        <f>C8+E8+G8+I8</f>
        <v>35</v>
      </c>
      <c r="L8" s="121">
        <f>D8+F8+H8+J8</f>
        <v>34.5</v>
      </c>
      <c r="M8" s="121">
        <f>C8+E8+G8+I8</f>
        <v>35</v>
      </c>
      <c r="N8" s="121">
        <v>0</v>
      </c>
      <c r="O8" s="121">
        <f>L8</f>
        <v>34.5</v>
      </c>
      <c r="P8" s="121">
        <v>0</v>
      </c>
    </row>
    <row r="9" spans="1:16" ht="14.15">
      <c r="A9" s="1">
        <v>2</v>
      </c>
      <c r="B9" s="120" t="s">
        <v>169</v>
      </c>
      <c r="C9" s="121">
        <v>1.75</v>
      </c>
      <c r="D9" s="121">
        <v>1.75</v>
      </c>
      <c r="E9" s="121">
        <v>0</v>
      </c>
      <c r="F9" s="121">
        <v>0</v>
      </c>
      <c r="G9" s="121">
        <v>19</v>
      </c>
      <c r="H9" s="121">
        <v>19</v>
      </c>
      <c r="I9" s="121">
        <v>5</v>
      </c>
      <c r="J9" s="121">
        <v>5</v>
      </c>
      <c r="K9" s="121">
        <f>C9+E9+G9+I9</f>
        <v>25.75</v>
      </c>
      <c r="L9" s="121">
        <f>D9+F9+H9+J9</f>
        <v>25.75</v>
      </c>
      <c r="M9" s="121">
        <f>C9+E9+G9+I9</f>
        <v>25.75</v>
      </c>
      <c r="N9" s="121">
        <v>0</v>
      </c>
      <c r="O9" s="121">
        <f>L9</f>
        <v>25.75</v>
      </c>
      <c r="P9" s="121">
        <v>0</v>
      </c>
    </row>
    <row r="10" spans="1:16" s="125" customFormat="1" ht="15.55">
      <c r="A10" s="122">
        <v>9</v>
      </c>
      <c r="B10" s="123" t="s">
        <v>111</v>
      </c>
      <c r="C10" s="124">
        <f>SUM(C8:C9)</f>
        <v>4.75</v>
      </c>
      <c r="D10" s="124">
        <f t="shared" ref="D10:P10" si="0">SUM(D8:D9)</f>
        <v>5.75</v>
      </c>
      <c r="E10" s="124">
        <f t="shared" si="0"/>
        <v>14</v>
      </c>
      <c r="F10" s="124">
        <f t="shared" si="0"/>
        <v>14</v>
      </c>
      <c r="G10" s="124">
        <f t="shared" si="0"/>
        <v>22</v>
      </c>
      <c r="H10" s="124">
        <f t="shared" si="0"/>
        <v>22</v>
      </c>
      <c r="I10" s="124">
        <f t="shared" si="0"/>
        <v>20</v>
      </c>
      <c r="J10" s="124">
        <f t="shared" si="0"/>
        <v>18.5</v>
      </c>
      <c r="K10" s="124">
        <f t="shared" si="0"/>
        <v>60.75</v>
      </c>
      <c r="L10" s="124">
        <f t="shared" si="0"/>
        <v>60.25</v>
      </c>
      <c r="M10" s="124">
        <f t="shared" si="0"/>
        <v>60.75</v>
      </c>
      <c r="N10" s="124">
        <f t="shared" si="0"/>
        <v>0</v>
      </c>
      <c r="O10" s="124">
        <f>SUM(O8:O9)</f>
        <v>60.25</v>
      </c>
      <c r="P10" s="124">
        <f t="shared" si="0"/>
        <v>0</v>
      </c>
    </row>
    <row r="11" spans="1:16" s="125" customFormat="1" ht="15.55">
      <c r="A11" s="122"/>
      <c r="B11" s="126"/>
      <c r="C11" s="21" t="s">
        <v>170</v>
      </c>
      <c r="D11" s="215" t="s">
        <v>170</v>
      </c>
      <c r="E11" s="21" t="s">
        <v>173</v>
      </c>
      <c r="F11" s="215" t="s">
        <v>173</v>
      </c>
      <c r="G11" s="21" t="s">
        <v>178</v>
      </c>
      <c r="H11" s="215" t="s">
        <v>178</v>
      </c>
      <c r="I11" s="208" t="s">
        <v>254</v>
      </c>
      <c r="J11" s="208" t="s">
        <v>292</v>
      </c>
      <c r="K11" s="127"/>
      <c r="L11" s="127"/>
      <c r="M11" s="127"/>
      <c r="N11" s="127"/>
      <c r="O11" s="127"/>
      <c r="P11" s="127"/>
    </row>
    <row r="12" spans="1:16" s="21" customFormat="1" ht="15.55">
      <c r="A12" s="1"/>
      <c r="B12" s="128"/>
      <c r="C12" s="21" t="s">
        <v>228</v>
      </c>
      <c r="D12" s="215" t="s">
        <v>228</v>
      </c>
      <c r="E12" s="21" t="s">
        <v>174</v>
      </c>
      <c r="F12" s="215" t="s">
        <v>174</v>
      </c>
      <c r="G12" s="21" t="s">
        <v>179</v>
      </c>
      <c r="H12" s="215" t="s">
        <v>179</v>
      </c>
      <c r="I12" s="208" t="s">
        <v>255</v>
      </c>
      <c r="J12" s="208" t="s">
        <v>255</v>
      </c>
    </row>
    <row r="13" spans="1:16" s="21" customFormat="1" ht="26.15">
      <c r="A13" s="1"/>
      <c r="B13" s="128"/>
      <c r="C13" s="21" t="s">
        <v>171</v>
      </c>
      <c r="D13" s="215" t="s">
        <v>171</v>
      </c>
      <c r="E13" s="21" t="s">
        <v>182</v>
      </c>
      <c r="F13" s="215" t="s">
        <v>182</v>
      </c>
      <c r="G13" s="21" t="s">
        <v>180</v>
      </c>
      <c r="H13" s="215" t="s">
        <v>180</v>
      </c>
      <c r="I13" s="208" t="s">
        <v>256</v>
      </c>
      <c r="J13" s="208" t="s">
        <v>293</v>
      </c>
    </row>
    <row r="14" spans="1:16" s="21" customFormat="1" ht="15.55">
      <c r="A14" s="1"/>
      <c r="B14" s="128"/>
      <c r="C14" s="21" t="s">
        <v>172</v>
      </c>
      <c r="D14" s="215" t="s">
        <v>172</v>
      </c>
      <c r="E14" s="21" t="s">
        <v>230</v>
      </c>
      <c r="F14" s="215" t="s">
        <v>230</v>
      </c>
      <c r="G14" s="201" t="s">
        <v>252</v>
      </c>
      <c r="H14" s="215" t="s">
        <v>252</v>
      </c>
      <c r="I14" s="208" t="s">
        <v>257</v>
      </c>
      <c r="J14" s="208" t="s">
        <v>257</v>
      </c>
    </row>
    <row r="15" spans="1:16" s="21" customFormat="1" ht="38.15">
      <c r="A15" s="1"/>
      <c r="B15" s="128"/>
      <c r="C15" s="21" t="s">
        <v>229</v>
      </c>
      <c r="D15" s="215" t="s">
        <v>229</v>
      </c>
      <c r="E15" s="129" t="s">
        <v>231</v>
      </c>
      <c r="F15" s="129" t="s">
        <v>231</v>
      </c>
      <c r="G15" s="129" t="s">
        <v>253</v>
      </c>
      <c r="H15" s="129" t="s">
        <v>253</v>
      </c>
      <c r="I15" s="22" t="s">
        <v>260</v>
      </c>
      <c r="J15" s="22" t="s">
        <v>260</v>
      </c>
    </row>
    <row r="16" spans="1:16" s="21" customFormat="1" ht="26.15">
      <c r="A16" s="1"/>
      <c r="B16" s="128"/>
      <c r="D16" s="129" t="s">
        <v>294</v>
      </c>
      <c r="E16" s="21" t="s">
        <v>175</v>
      </c>
      <c r="F16" s="215" t="s">
        <v>175</v>
      </c>
      <c r="I16" s="22" t="s">
        <v>259</v>
      </c>
      <c r="J16" s="22" t="s">
        <v>259</v>
      </c>
    </row>
    <row r="17" spans="2:14" ht="15.55">
      <c r="B17" s="128"/>
      <c r="E17" s="21" t="s">
        <v>176</v>
      </c>
      <c r="F17" s="215" t="s">
        <v>176</v>
      </c>
      <c r="I17" s="208" t="s">
        <v>258</v>
      </c>
      <c r="J17" s="208" t="s">
        <v>258</v>
      </c>
    </row>
    <row r="18" spans="2:14" ht="15.55">
      <c r="B18" s="128"/>
      <c r="E18" s="21" t="s">
        <v>177</v>
      </c>
      <c r="F18" s="215" t="s">
        <v>177</v>
      </c>
    </row>
    <row r="19" spans="2:14" ht="15.55">
      <c r="B19" s="128"/>
      <c r="C19" s="129"/>
      <c r="E19" s="21" t="s">
        <v>232</v>
      </c>
      <c r="F19" s="215" t="s">
        <v>232</v>
      </c>
      <c r="N19" s="21" t="s">
        <v>311</v>
      </c>
    </row>
    <row r="20" spans="2:14" ht="15.55">
      <c r="B20" s="128"/>
      <c r="C20" s="129"/>
    </row>
    <row r="21" spans="2:14" ht="15.55">
      <c r="B21" s="128"/>
    </row>
    <row r="22" spans="2:14" ht="15.55">
      <c r="B22" s="128"/>
    </row>
    <row r="23" spans="2:14" ht="15.55">
      <c r="B23" s="128"/>
    </row>
    <row r="24" spans="2:14" ht="15.55">
      <c r="B24" s="128"/>
    </row>
    <row r="25" spans="2:14" ht="15.55">
      <c r="B25" s="128"/>
    </row>
    <row r="26" spans="2:14" ht="15.55">
      <c r="B26" s="128"/>
    </row>
    <row r="27" spans="2:14" ht="15.55">
      <c r="B27" s="128"/>
    </row>
  </sheetData>
  <mergeCells count="2">
    <mergeCell ref="B1:P1"/>
    <mergeCell ref="L3:P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3</vt:i4>
      </vt:variant>
    </vt:vector>
  </HeadingPairs>
  <TitlesOfParts>
    <vt:vector size="16" baseType="lpstr">
      <vt:lpstr>1 bevétel-kiadás</vt:lpstr>
      <vt:lpstr>2 helyi adó bev.</vt:lpstr>
      <vt:lpstr>3 tám.ért. bev.</vt:lpstr>
      <vt:lpstr>4 ktgvetési tám. bev.</vt:lpstr>
      <vt:lpstr>5 EU-s pr. bev-kiad.</vt:lpstr>
      <vt:lpstr>6 Ber-Felúj. kiad.</vt:lpstr>
      <vt:lpstr>7 átadott pénzeszk.</vt:lpstr>
      <vt:lpstr>8 ellátotak jutt.</vt:lpstr>
      <vt:lpstr>9 létszám</vt:lpstr>
      <vt:lpstr>10 közvetett tám-ok kiad.</vt:lpstr>
      <vt:lpstr>11 ktgvetési mérleg</vt:lpstr>
      <vt:lpstr>12 EI felh.terv</vt:lpstr>
      <vt:lpstr>Munka1</vt:lpstr>
      <vt:lpstr>'1 bevétel-kiadás'!Nyomtatási_terület</vt:lpstr>
      <vt:lpstr>'11 ktgvetési mérleg'!Nyomtatási_terület</vt:lpstr>
      <vt:lpstr>'7 átadott pénzeszk.'!Nyomtatási_terület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itretyko</cp:lastModifiedBy>
  <cp:lastPrinted>2019-02-25T10:51:39Z</cp:lastPrinted>
  <dcterms:created xsi:type="dcterms:W3CDTF">2013-02-08T06:30:04Z</dcterms:created>
  <dcterms:modified xsi:type="dcterms:W3CDTF">2019-04-25T06:17:13Z</dcterms:modified>
</cp:coreProperties>
</file>