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3" yWindow="-113" windowWidth="22814" windowHeight="12579" tabRatio="808" activeTab="1"/>
  </bookViews>
  <sheets>
    <sheet name="11 ktgvetési mérleg" sheetId="11" r:id="rId1"/>
    <sheet name="1 bevétel-kiadás" sheetId="1" r:id="rId2"/>
    <sheet name="2 helyi adó bev." sheetId="2" r:id="rId3"/>
    <sheet name="3 tám.ért. bev-kiad." sheetId="3" r:id="rId4"/>
    <sheet name="4 ktgvetési tám. bev." sheetId="4" r:id="rId5"/>
    <sheet name="5 EU-s pr. bev-kiad." sheetId="5" r:id="rId6"/>
    <sheet name="7 átadott pénzeszk." sheetId="7" r:id="rId7"/>
    <sheet name="6 Ber-Felúj. kiad." sheetId="6" r:id="rId8"/>
    <sheet name="8 ellátotak jutt." sheetId="8" r:id="rId9"/>
    <sheet name="9 létszám" sheetId="9" r:id="rId10"/>
    <sheet name="10 közvetett tám-ok kiad." sheetId="14" r:id="rId11"/>
    <sheet name="12 EI felh.terv" sheetId="12" r:id="rId12"/>
    <sheet name="Munka1" sheetId="13" r:id="rId13"/>
  </sheets>
  <definedNames>
    <definedName name="_xlnm.Print_Area" localSheetId="1">'1 bevétel-kiadás'!$A$1:$P$64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4"/>
  <c r="C26"/>
  <c r="C22"/>
  <c r="J65" i="6" l="1"/>
  <c r="E49"/>
  <c r="J57" l="1"/>
  <c r="M57" s="1"/>
  <c r="K65"/>
  <c r="M65"/>
  <c r="J30"/>
  <c r="M30"/>
  <c r="J29"/>
  <c r="M29"/>
  <c r="J28"/>
  <c r="M28"/>
  <c r="J27"/>
  <c r="M27"/>
  <c r="J26"/>
  <c r="M26"/>
  <c r="J25"/>
  <c r="M25"/>
  <c r="J24"/>
  <c r="M24"/>
  <c r="M9" l="1"/>
  <c r="M10"/>
  <c r="M11"/>
  <c r="M12"/>
  <c r="M13"/>
  <c r="M14"/>
  <c r="M15"/>
  <c r="M16"/>
  <c r="M17"/>
  <c r="M18"/>
  <c r="M19"/>
  <c r="M20"/>
  <c r="M21"/>
  <c r="M22"/>
  <c r="M23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8"/>
  <c r="K9"/>
  <c r="K11"/>
  <c r="K12"/>
  <c r="K14"/>
  <c r="K15"/>
  <c r="K16"/>
  <c r="K22"/>
  <c r="K23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8"/>
  <c r="J9"/>
  <c r="J10"/>
  <c r="J11"/>
  <c r="J12"/>
  <c r="J13"/>
  <c r="J14"/>
  <c r="J15"/>
  <c r="J16"/>
  <c r="J17"/>
  <c r="J18"/>
  <c r="J19"/>
  <c r="J20"/>
  <c r="J21"/>
  <c r="J22"/>
  <c r="J23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8"/>
  <c r="I9"/>
  <c r="I11"/>
  <c r="I12"/>
  <c r="I14"/>
  <c r="I15"/>
  <c r="I16"/>
  <c r="I22"/>
  <c r="I23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8"/>
  <c r="D20" i="4" l="1"/>
  <c r="F19"/>
  <c r="F24"/>
  <c r="F34"/>
  <c r="F28"/>
  <c r="D16"/>
  <c r="F15"/>
  <c r="D32"/>
  <c r="C32"/>
  <c r="F31"/>
  <c r="C20"/>
  <c r="F17"/>
  <c r="F27"/>
  <c r="F14"/>
  <c r="D25"/>
  <c r="D29" s="1"/>
  <c r="D35" s="1"/>
  <c r="J39" i="3" l="1"/>
  <c r="I39"/>
  <c r="F39"/>
  <c r="E39"/>
  <c r="D39"/>
  <c r="C39"/>
  <c r="H38"/>
  <c r="G38"/>
  <c r="H37"/>
  <c r="G37"/>
  <c r="H36"/>
  <c r="G36"/>
  <c r="H35"/>
  <c r="G35"/>
  <c r="D25"/>
  <c r="E25"/>
  <c r="F25"/>
  <c r="G25"/>
  <c r="H25"/>
  <c r="J25"/>
  <c r="L25"/>
  <c r="K23"/>
  <c r="K24"/>
  <c r="K22"/>
  <c r="I23"/>
  <c r="I24"/>
  <c r="C25"/>
  <c r="K25" l="1"/>
  <c r="G39"/>
  <c r="H39"/>
  <c r="L10" l="1"/>
  <c r="K10"/>
  <c r="J10"/>
  <c r="I10"/>
  <c r="L11"/>
  <c r="K11"/>
  <c r="J11"/>
  <c r="I11"/>
  <c r="L9"/>
  <c r="K9"/>
  <c r="J9"/>
  <c r="I9"/>
  <c r="L8"/>
  <c r="K8"/>
  <c r="J8"/>
  <c r="I8"/>
  <c r="E8" i="2"/>
  <c r="E9"/>
  <c r="E7"/>
  <c r="D28" i="1"/>
  <c r="D10"/>
  <c r="D9" s="1"/>
  <c r="G49" i="6" l="1"/>
  <c r="G50" s="1"/>
  <c r="H49"/>
  <c r="H50" s="1"/>
  <c r="E50" l="1"/>
  <c r="F49"/>
  <c r="F50" s="1"/>
  <c r="K14" i="3"/>
  <c r="G16"/>
  <c r="G27" s="1"/>
  <c r="H16"/>
  <c r="H27" s="1"/>
  <c r="K15" l="1"/>
  <c r="L12"/>
  <c r="L7"/>
  <c r="L13"/>
  <c r="L14"/>
  <c r="K7"/>
  <c r="J7"/>
  <c r="J12"/>
  <c r="J13"/>
  <c r="J14"/>
  <c r="I7"/>
  <c r="D16"/>
  <c r="E16"/>
  <c r="E27" s="1"/>
  <c r="F16"/>
  <c r="F27" s="1"/>
  <c r="C16"/>
  <c r="C10" i="7" l="1"/>
  <c r="D50" i="6"/>
  <c r="C21"/>
  <c r="C20"/>
  <c r="C19"/>
  <c r="C18"/>
  <c r="C17"/>
  <c r="C13"/>
  <c r="C10"/>
  <c r="I17" l="1"/>
  <c r="K17"/>
  <c r="K21"/>
  <c r="I21"/>
  <c r="K18"/>
  <c r="I18"/>
  <c r="C49"/>
  <c r="K49" s="1"/>
  <c r="K10"/>
  <c r="I10"/>
  <c r="K19"/>
  <c r="I19"/>
  <c r="I13"/>
  <c r="K13"/>
  <c r="K20"/>
  <c r="I20"/>
  <c r="D22" i="14"/>
  <c r="D12" i="8"/>
  <c r="D13" i="7"/>
  <c r="D10" i="5"/>
  <c r="C10"/>
  <c r="E9"/>
  <c r="E8"/>
  <c r="F33" i="4"/>
  <c r="E33"/>
  <c r="F25"/>
  <c r="F26"/>
  <c r="E26"/>
  <c r="C25"/>
  <c r="C23"/>
  <c r="D15" i="2"/>
  <c r="C15"/>
  <c r="G30" i="11"/>
  <c r="F30"/>
  <c r="L50" i="6"/>
  <c r="N50"/>
  <c r="J49"/>
  <c r="M49" s="1"/>
  <c r="C50" l="1"/>
  <c r="E10" i="5"/>
  <c r="I49" i="6"/>
  <c r="C29" i="4"/>
  <c r="F15" i="11"/>
  <c r="C15"/>
  <c r="C16"/>
  <c r="C17"/>
  <c r="C19"/>
  <c r="C20"/>
  <c r="C21"/>
  <c r="C22"/>
  <c r="C14"/>
  <c r="C23" l="1"/>
  <c r="G8" i="8" l="1"/>
  <c r="E8"/>
  <c r="E11"/>
  <c r="G11"/>
  <c r="C58" i="6"/>
  <c r="D48" i="1"/>
  <c r="D19"/>
  <c r="C9"/>
  <c r="C19" s="1"/>
  <c r="D54" l="1"/>
  <c r="D58" s="1"/>
  <c r="K8" i="9"/>
  <c r="C10"/>
  <c r="G10" i="8"/>
  <c r="E10"/>
  <c r="D59" i="6"/>
  <c r="I58"/>
  <c r="J58"/>
  <c r="K58"/>
  <c r="M58"/>
  <c r="K56"/>
  <c r="K59" s="1"/>
  <c r="J56"/>
  <c r="M56" s="1"/>
  <c r="I56"/>
  <c r="I59" s="1"/>
  <c r="F32" i="4"/>
  <c r="F16"/>
  <c r="E14" i="2"/>
  <c r="O60" i="1"/>
  <c r="O55"/>
  <c r="O56"/>
  <c r="O57"/>
  <c r="O53"/>
  <c r="O46"/>
  <c r="O42"/>
  <c r="O43"/>
  <c r="O44"/>
  <c r="O45"/>
  <c r="O47"/>
  <c r="O49"/>
  <c r="O50"/>
  <c r="M53"/>
  <c r="O52"/>
  <c r="O38"/>
  <c r="O39"/>
  <c r="O37"/>
  <c r="C24" i="14"/>
  <c r="D32"/>
  <c r="C32"/>
  <c r="D28"/>
  <c r="C28"/>
  <c r="D24"/>
  <c r="D20"/>
  <c r="C20"/>
  <c r="D16"/>
  <c r="C16"/>
  <c r="G27" i="11"/>
  <c r="G17"/>
  <c r="G16"/>
  <c r="L44" i="1"/>
  <c r="L45"/>
  <c r="K44"/>
  <c r="K45"/>
  <c r="F16" i="11" s="1"/>
  <c r="K42" i="1"/>
  <c r="F13" i="11" s="1"/>
  <c r="D41" i="1"/>
  <c r="G8" i="11"/>
  <c r="D21"/>
  <c r="D26"/>
  <c r="H12" i="8"/>
  <c r="F12"/>
  <c r="N48" i="1"/>
  <c r="P46"/>
  <c r="D40"/>
  <c r="L40" s="1"/>
  <c r="L42"/>
  <c r="G13" i="11" s="1"/>
  <c r="C67" i="6"/>
  <c r="C59"/>
  <c r="C69" s="1"/>
  <c r="O15" i="1"/>
  <c r="G21" i="11"/>
  <c r="G20"/>
  <c r="D20"/>
  <c r="D19"/>
  <c r="D16"/>
  <c r="D13"/>
  <c r="D12"/>
  <c r="G15"/>
  <c r="L47" i="1"/>
  <c r="G10" i="11"/>
  <c r="G9"/>
  <c r="O16" i="1"/>
  <c r="D14" i="11"/>
  <c r="K13" i="3"/>
  <c r="O10" i="1"/>
  <c r="O11"/>
  <c r="O12"/>
  <c r="O13"/>
  <c r="O14"/>
  <c r="O17"/>
  <c r="O18"/>
  <c r="O20"/>
  <c r="O21"/>
  <c r="O22"/>
  <c r="O23"/>
  <c r="O24"/>
  <c r="O27"/>
  <c r="O28"/>
  <c r="O30"/>
  <c r="K9" i="9"/>
  <c r="C41" i="1"/>
  <c r="C40"/>
  <c r="F11" i="11" s="1"/>
  <c r="K47" i="1"/>
  <c r="F18" i="11" s="1"/>
  <c r="K37" i="1"/>
  <c r="F8" i="11" s="1"/>
  <c r="K38" i="1"/>
  <c r="F9" i="11" s="1"/>
  <c r="K39" i="1"/>
  <c r="F10" i="11" s="1"/>
  <c r="M8" i="1"/>
  <c r="D11" i="12"/>
  <c r="E11"/>
  <c r="F11"/>
  <c r="G11"/>
  <c r="H11"/>
  <c r="I11"/>
  <c r="J11"/>
  <c r="K11"/>
  <c r="L11"/>
  <c r="M11"/>
  <c r="N11"/>
  <c r="C11"/>
  <c r="D9"/>
  <c r="E9"/>
  <c r="F9"/>
  <c r="G9"/>
  <c r="H9"/>
  <c r="I9"/>
  <c r="J9"/>
  <c r="K9"/>
  <c r="L9"/>
  <c r="M9"/>
  <c r="N9"/>
  <c r="C9"/>
  <c r="N67" i="6"/>
  <c r="L67"/>
  <c r="H67"/>
  <c r="G67"/>
  <c r="F67"/>
  <c r="E67"/>
  <c r="C12" i="8"/>
  <c r="E10" i="4"/>
  <c r="C27" i="3"/>
  <c r="I13"/>
  <c r="M39" i="1"/>
  <c r="E25" i="4"/>
  <c r="F21"/>
  <c r="F12"/>
  <c r="E12"/>
  <c r="D10" i="9"/>
  <c r="E10"/>
  <c r="F10"/>
  <c r="G10"/>
  <c r="H10"/>
  <c r="I10"/>
  <c r="J10"/>
  <c r="M8"/>
  <c r="N10"/>
  <c r="P10"/>
  <c r="G9" i="8"/>
  <c r="E9"/>
  <c r="F15" i="2"/>
  <c r="H15"/>
  <c r="G8"/>
  <c r="G9"/>
  <c r="G10"/>
  <c r="G11"/>
  <c r="G12"/>
  <c r="G13"/>
  <c r="G14"/>
  <c r="E10"/>
  <c r="E15" s="1"/>
  <c r="E11"/>
  <c r="E12"/>
  <c r="E13"/>
  <c r="P58" i="1"/>
  <c r="E48"/>
  <c r="E41"/>
  <c r="F48"/>
  <c r="F41"/>
  <c r="G48"/>
  <c r="G41"/>
  <c r="H48"/>
  <c r="H41"/>
  <c r="H51" s="1"/>
  <c r="I48"/>
  <c r="I41"/>
  <c r="I51" s="1"/>
  <c r="J48"/>
  <c r="J41"/>
  <c r="K49"/>
  <c r="F20" i="11" s="1"/>
  <c r="K50" i="1"/>
  <c r="F21" i="11" s="1"/>
  <c r="K43" i="1"/>
  <c r="F14" i="11" s="1"/>
  <c r="K46" i="1"/>
  <c r="L49"/>
  <c r="L50"/>
  <c r="L43"/>
  <c r="L38"/>
  <c r="M49"/>
  <c r="M50"/>
  <c r="M42"/>
  <c r="M43"/>
  <c r="M38"/>
  <c r="M37"/>
  <c r="N46"/>
  <c r="N41" s="1"/>
  <c r="P41"/>
  <c r="P51" s="1"/>
  <c r="P59" s="1"/>
  <c r="P61" s="1"/>
  <c r="C48"/>
  <c r="E18" i="4"/>
  <c r="E20" s="1"/>
  <c r="E21"/>
  <c r="G12" i="8"/>
  <c r="F9" i="4"/>
  <c r="F10"/>
  <c r="F13"/>
  <c r="F22"/>
  <c r="F23"/>
  <c r="F30"/>
  <c r="F11"/>
  <c r="F8"/>
  <c r="I22" i="3"/>
  <c r="I12"/>
  <c r="I15"/>
  <c r="I14"/>
  <c r="K12"/>
  <c r="G7" i="2"/>
  <c r="L8" i="9"/>
  <c r="O8" s="1"/>
  <c r="L9"/>
  <c r="O9" s="1"/>
  <c r="F18" i="7"/>
  <c r="H18"/>
  <c r="F19"/>
  <c r="H19"/>
  <c r="F20"/>
  <c r="H20"/>
  <c r="F21"/>
  <c r="H21"/>
  <c r="H17"/>
  <c r="F17"/>
  <c r="F22" s="1"/>
  <c r="H9"/>
  <c r="H10"/>
  <c r="H11"/>
  <c r="H12"/>
  <c r="H8"/>
  <c r="F9"/>
  <c r="F10"/>
  <c r="F11"/>
  <c r="F12"/>
  <c r="F8"/>
  <c r="G22"/>
  <c r="E22"/>
  <c r="E13"/>
  <c r="D22"/>
  <c r="C22"/>
  <c r="C13"/>
  <c r="L59" i="6"/>
  <c r="L69" s="1"/>
  <c r="N59"/>
  <c r="N69" s="1"/>
  <c r="H59"/>
  <c r="G59"/>
  <c r="G69" s="1"/>
  <c r="F59"/>
  <c r="E59"/>
  <c r="E69" s="1"/>
  <c r="E9" i="4"/>
  <c r="E13"/>
  <c r="E22"/>
  <c r="E23"/>
  <c r="E30"/>
  <c r="E11"/>
  <c r="E8"/>
  <c r="J16" i="3"/>
  <c r="J27" s="1"/>
  <c r="L16"/>
  <c r="L27" s="1"/>
  <c r="L52" i="1"/>
  <c r="G23" i="11" s="1"/>
  <c r="L53" i="1"/>
  <c r="G24" i="11" s="1"/>
  <c r="L55" i="1"/>
  <c r="L56"/>
  <c r="G26" i="11" s="1"/>
  <c r="L57" i="1"/>
  <c r="M55"/>
  <c r="M56"/>
  <c r="M57"/>
  <c r="K55"/>
  <c r="K56"/>
  <c r="K57"/>
  <c r="N54"/>
  <c r="N58" s="1"/>
  <c r="M60"/>
  <c r="M10"/>
  <c r="M11"/>
  <c r="M12"/>
  <c r="M13"/>
  <c r="M14"/>
  <c r="M15"/>
  <c r="M16"/>
  <c r="M17"/>
  <c r="M18"/>
  <c r="M20"/>
  <c r="M21"/>
  <c r="M22"/>
  <c r="M23"/>
  <c r="M24"/>
  <c r="M27"/>
  <c r="M28"/>
  <c r="M30"/>
  <c r="D25"/>
  <c r="F9"/>
  <c r="F19" s="1"/>
  <c r="H9"/>
  <c r="J9"/>
  <c r="J19" s="1"/>
  <c r="K53"/>
  <c r="F24" i="11" s="1"/>
  <c r="K60" i="1"/>
  <c r="L60"/>
  <c r="K10"/>
  <c r="C10" i="11" s="1"/>
  <c r="L10" i="1"/>
  <c r="K11"/>
  <c r="C11" i="11" s="1"/>
  <c r="L11" i="1"/>
  <c r="K12"/>
  <c r="C12" i="11" s="1"/>
  <c r="L12" i="1"/>
  <c r="K13"/>
  <c r="C13" i="11" s="1"/>
  <c r="L13" i="1"/>
  <c r="K14"/>
  <c r="L14"/>
  <c r="K15"/>
  <c r="L15"/>
  <c r="K16"/>
  <c r="L16"/>
  <c r="D15" i="11" s="1"/>
  <c r="K17" i="1"/>
  <c r="L17"/>
  <c r="K18"/>
  <c r="L18"/>
  <c r="K20"/>
  <c r="L20"/>
  <c r="K21"/>
  <c r="L21"/>
  <c r="K22"/>
  <c r="L22"/>
  <c r="K23"/>
  <c r="L23"/>
  <c r="K24"/>
  <c r="L24"/>
  <c r="F25"/>
  <c r="H25"/>
  <c r="J25"/>
  <c r="K27"/>
  <c r="C25" i="11" s="1"/>
  <c r="L27" i="1"/>
  <c r="D25" i="11" s="1"/>
  <c r="K28" i="1"/>
  <c r="C26" i="11" s="1"/>
  <c r="L28" i="1"/>
  <c r="K30"/>
  <c r="L30"/>
  <c r="K8"/>
  <c r="C8" i="11" s="1"/>
  <c r="E9" i="1"/>
  <c r="E25"/>
  <c r="E54"/>
  <c r="E58"/>
  <c r="F54"/>
  <c r="F58" s="1"/>
  <c r="J54"/>
  <c r="J58" s="1"/>
  <c r="I54"/>
  <c r="I58" s="1"/>
  <c r="H54"/>
  <c r="H58" s="1"/>
  <c r="G54"/>
  <c r="G58" s="1"/>
  <c r="C54"/>
  <c r="C58" s="1"/>
  <c r="I25"/>
  <c r="G25"/>
  <c r="I9"/>
  <c r="I19" s="1"/>
  <c r="I26" s="1"/>
  <c r="I29" s="1"/>
  <c r="G9"/>
  <c r="G19" s="1"/>
  <c r="C25"/>
  <c r="G13" i="7"/>
  <c r="K52" i="1"/>
  <c r="M40"/>
  <c r="K67" i="6"/>
  <c r="C16" i="4"/>
  <c r="C35" s="1"/>
  <c r="D10" i="11"/>
  <c r="G18"/>
  <c r="M9" i="9"/>
  <c r="M47" i="1"/>
  <c r="L46"/>
  <c r="D51"/>
  <c r="L39"/>
  <c r="L37"/>
  <c r="D8" i="11"/>
  <c r="H19" i="1"/>
  <c r="O8"/>
  <c r="L8"/>
  <c r="I67" i="6"/>
  <c r="M67"/>
  <c r="D67"/>
  <c r="D27" i="3"/>
  <c r="D9" i="11"/>
  <c r="J67" i="6"/>
  <c r="H26" i="1" l="1"/>
  <c r="H29" s="1"/>
  <c r="I59"/>
  <c r="I61" s="1"/>
  <c r="F69" i="6"/>
  <c r="N51" i="1"/>
  <c r="M41"/>
  <c r="H22" i="7"/>
  <c r="M9" i="1"/>
  <c r="H69" i="6"/>
  <c r="E51" i="1"/>
  <c r="E59" s="1"/>
  <c r="E61" s="1"/>
  <c r="E29" i="4"/>
  <c r="J59" i="6"/>
  <c r="J51" i="1"/>
  <c r="F29" i="4"/>
  <c r="D18" i="11"/>
  <c r="G26" i="1"/>
  <c r="G29" s="1"/>
  <c r="M48"/>
  <c r="M51" s="1"/>
  <c r="G28" i="11"/>
  <c r="E16" i="4"/>
  <c r="I25" i="3"/>
  <c r="K16"/>
  <c r="K27" s="1"/>
  <c r="G15" i="2"/>
  <c r="K9" i="1"/>
  <c r="C9" i="11" s="1"/>
  <c r="C18" s="1"/>
  <c r="C24" s="1"/>
  <c r="C27" s="1"/>
  <c r="K25" i="1"/>
  <c r="E19"/>
  <c r="E26" s="1"/>
  <c r="E29" s="1"/>
  <c r="E31" s="1"/>
  <c r="K54"/>
  <c r="G51"/>
  <c r="G59" s="1"/>
  <c r="G61" s="1"/>
  <c r="G31" s="1"/>
  <c r="F51"/>
  <c r="F59" s="1"/>
  <c r="F61" s="1"/>
  <c r="J26"/>
  <c r="J29" s="1"/>
  <c r="O11" i="12" s="1"/>
  <c r="M54" i="1"/>
  <c r="L54"/>
  <c r="L58" s="1"/>
  <c r="J59"/>
  <c r="J61" s="1"/>
  <c r="H59"/>
  <c r="H61" s="1"/>
  <c r="I16" i="3"/>
  <c r="H13" i="7"/>
  <c r="L41" i="1"/>
  <c r="C51"/>
  <c r="C59" s="1"/>
  <c r="C61" s="1"/>
  <c r="F26"/>
  <c r="F29" s="1"/>
  <c r="O9" i="12" s="1"/>
  <c r="O48" i="1"/>
  <c r="I50" i="6"/>
  <c r="I69" s="1"/>
  <c r="O9" i="1"/>
  <c r="L25"/>
  <c r="O25"/>
  <c r="F12" i="11"/>
  <c r="O54" i="1"/>
  <c r="O58" s="1"/>
  <c r="N59"/>
  <c r="N61" s="1"/>
  <c r="K40"/>
  <c r="F19" i="11"/>
  <c r="D33" i="14"/>
  <c r="O41" i="1"/>
  <c r="L9"/>
  <c r="L10" i="9"/>
  <c r="K10"/>
  <c r="F13" i="7"/>
  <c r="M59" i="6"/>
  <c r="K50"/>
  <c r="K69" s="1"/>
  <c r="M50"/>
  <c r="J50"/>
  <c r="E32" i="4"/>
  <c r="K41" i="1"/>
  <c r="M25"/>
  <c r="C26"/>
  <c r="C29" s="1"/>
  <c r="M29" s="1"/>
  <c r="M52"/>
  <c r="F23" i="11"/>
  <c r="F28" s="1"/>
  <c r="I31" i="1"/>
  <c r="L48"/>
  <c r="O40"/>
  <c r="G11" i="11"/>
  <c r="D23"/>
  <c r="G19"/>
  <c r="C33" i="14"/>
  <c r="M10" i="9"/>
  <c r="O10"/>
  <c r="E12" i="8"/>
  <c r="D69" i="6"/>
  <c r="F18" i="4"/>
  <c r="F20" s="1"/>
  <c r="F35" s="1"/>
  <c r="K48" i="1"/>
  <c r="L19"/>
  <c r="H31"/>
  <c r="O10" i="12"/>
  <c r="M19" i="1"/>
  <c r="K19"/>
  <c r="D26"/>
  <c r="O19"/>
  <c r="D59"/>
  <c r="D61" s="1"/>
  <c r="K58"/>
  <c r="G12" i="11"/>
  <c r="K51" i="1" l="1"/>
  <c r="M69" i="6"/>
  <c r="J31" i="1"/>
  <c r="J69" i="6"/>
  <c r="E35" i="4"/>
  <c r="I27" i="3"/>
  <c r="M58" i="1"/>
  <c r="M59" s="1"/>
  <c r="M61" s="1"/>
  <c r="L51"/>
  <c r="L59" s="1"/>
  <c r="L61" s="1"/>
  <c r="F22" i="11"/>
  <c r="F29" s="1"/>
  <c r="F31" s="1"/>
  <c r="F31" i="1"/>
  <c r="O51"/>
  <c r="O59" s="1"/>
  <c r="O61" s="1"/>
  <c r="K29"/>
  <c r="M26"/>
  <c r="C31"/>
  <c r="K31" s="1"/>
  <c r="K26"/>
  <c r="K59"/>
  <c r="K61" s="1"/>
  <c r="D24" i="11"/>
  <c r="D27" s="1"/>
  <c r="G22"/>
  <c r="J10" i="12"/>
  <c r="H10"/>
  <c r="L10"/>
  <c r="I10"/>
  <c r="E10"/>
  <c r="F10"/>
  <c r="C10"/>
  <c r="D10"/>
  <c r="M10"/>
  <c r="K10"/>
  <c r="G10"/>
  <c r="N10"/>
  <c r="D29" i="1"/>
  <c r="D31" s="1"/>
  <c r="O26"/>
  <c r="L26"/>
  <c r="G29" i="11" l="1"/>
  <c r="G31" s="1"/>
  <c r="M31" i="1"/>
  <c r="L31"/>
  <c r="O31"/>
  <c r="L29"/>
  <c r="O8" i="12"/>
  <c r="O29" i="1"/>
  <c r="L8" i="12" l="1"/>
  <c r="L12" s="1"/>
  <c r="H8"/>
  <c r="H12" s="1"/>
  <c r="K8"/>
  <c r="K12" s="1"/>
  <c r="G8"/>
  <c r="G12" s="1"/>
  <c r="F8"/>
  <c r="F12" s="1"/>
  <c r="E8"/>
  <c r="E12" s="1"/>
  <c r="D8"/>
  <c r="D12" s="1"/>
  <c r="J8"/>
  <c r="J12" s="1"/>
  <c r="C8"/>
  <c r="C12" s="1"/>
  <c r="I8"/>
  <c r="I12" s="1"/>
  <c r="N8"/>
  <c r="N12" s="1"/>
  <c r="M8"/>
  <c r="M12" s="1"/>
  <c r="O12"/>
</calcChain>
</file>

<file path=xl/sharedStrings.xml><?xml version="1.0" encoding="utf-8"?>
<sst xmlns="http://schemas.openxmlformats.org/spreadsheetml/2006/main" count="746" uniqueCount="340">
  <si>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</si>
  <si>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</si>
  <si>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</si>
  <si>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</si>
  <si>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</si>
  <si>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</si>
  <si>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</si>
  <si>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</si>
  <si>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</si>
  <si>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</si>
  <si>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</si>
  <si>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</si>
  <si>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</si>
  <si>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</si>
  <si>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</si>
  <si>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</si>
  <si>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</si>
  <si>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</si>
  <si>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</si>
  <si>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</si>
  <si>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</si>
  <si>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</si>
  <si>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</si>
  <si>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</si>
  <si>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</si>
  <si>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</si>
  <si>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</si>
  <si>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</si>
  <si>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</si>
  <si>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</si>
  <si>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</si>
  <si>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</si>
  <si>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</si>
  <si>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</si>
  <si>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</si>
  <si>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</si>
  <si>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</si>
  <si>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</si>
  <si>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</si>
  <si>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</si>
  <si>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</si>
  <si>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</si>
  <si>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</si>
  <si>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támogatásértékű működési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</si>
  <si>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</si>
  <si>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</si>
  <si>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</si>
  <si>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</si>
  <si>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</si>
  <si>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</si>
  <si>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</si>
  <si>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</si>
  <si>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Egyéb felhalmozási kiadások </t>
  </si>
  <si>
    <t xml:space="preserve">   befektetési célú részesedések vásárlása 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</si>
  <si>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</si>
  <si>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</si>
  <si>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</si>
  <si>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</si>
  <si>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</si>
  <si>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</si>
  <si>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</si>
  <si>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</si>
  <si>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</si>
  <si>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</si>
  <si>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</si>
  <si>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</si>
  <si>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</si>
  <si>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</si>
  <si>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</si>
  <si>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</si>
  <si>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</si>
  <si>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</si>
  <si>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</si>
  <si>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</si>
  <si>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</si>
  <si>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</si>
  <si>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</si>
  <si>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 xml:space="preserve">Támogatásértékű működési bevételek </t>
  </si>
  <si>
    <t xml:space="preserve">Támogatásértékű felhalmozási bevételek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</si>
  <si>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</si>
  <si>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</si>
  <si>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</si>
  <si>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</si>
  <si>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</si>
  <si>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</si>
  <si>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</si>
  <si>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</si>
  <si>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</si>
  <si>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</si>
  <si>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</si>
  <si>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</si>
  <si>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</si>
  <si>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</si>
  <si>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</si>
  <si>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</si>
  <si>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</si>
  <si>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</si>
  <si>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</si>
  <si>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</si>
  <si>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</si>
  <si>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</si>
  <si>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</si>
  <si>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</si>
  <si>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</si>
  <si>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 xml:space="preserve">Létszám összesen </t>
  </si>
  <si>
    <t>MÉRLEG ÖNKORMÁNYZATI ÖSSZESEN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</si>
  <si>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</si>
  <si>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</si>
  <si>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</si>
  <si>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</si>
  <si>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</si>
  <si>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</si>
  <si>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</si>
  <si>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</si>
  <si>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</si>
  <si>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</si>
  <si>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</si>
  <si>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</si>
  <si>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</si>
  <si>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</si>
  <si>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</si>
  <si>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</si>
  <si>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</si>
  <si>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</si>
  <si>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</si>
  <si>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</si>
  <si>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</si>
  <si>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</si>
  <si>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</si>
  <si>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</si>
  <si>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</si>
  <si>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</si>
  <si>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Talajterhelési díj</t>
  </si>
  <si>
    <t>Kistelepülések szociális feladatainak támogatása</t>
  </si>
  <si>
    <t>Helyi önkormnyzatok általános működésének támogatása összesen</t>
  </si>
  <si>
    <t>Szociális étkeztetés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</si>
  <si>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</si>
  <si>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</si>
  <si>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</si>
  <si>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Beruházások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</si>
  <si>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</si>
  <si>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</si>
  <si>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</si>
  <si>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</si>
  <si>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Felh.c.tám. EGYHÁZ</t>
  </si>
  <si>
    <t>Felh.c.tám. NONPROFIT GAZD.TÁRS.</t>
  </si>
  <si>
    <t>Felh.c.tám. EGYÉB CIVIL SZERV. (alapítvány, egyesület, helyi szervezet)</t>
  </si>
  <si>
    <t>Felh.c.tám. HÁZTARTÁSOK</t>
  </si>
  <si>
    <t>Egyéb műk.c. támogatás Önk-tól, Önk-i ktgv.szervtől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</si>
  <si>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</si>
  <si>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</si>
  <si>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</si>
  <si>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</si>
  <si>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</si>
  <si>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</si>
  <si>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Szakmai</t>
  </si>
  <si>
    <t xml:space="preserve">Intézmény üzemeltetéshez kapcsolódó </t>
  </si>
  <si>
    <t>polgármester 1</t>
  </si>
  <si>
    <t>védőnő 1</t>
  </si>
  <si>
    <t>jegyző 1</t>
  </si>
  <si>
    <t>aljegyző 1</t>
  </si>
  <si>
    <t>inform. 0,75</t>
  </si>
  <si>
    <t>int.vez. 1</t>
  </si>
  <si>
    <t>int.vez.h. 1</t>
  </si>
  <si>
    <t>pü.üi. 1</t>
  </si>
  <si>
    <t xml:space="preserve">Előző évi működési célú előirányzat-maradvány, pénzmaradvány  összesen </t>
  </si>
  <si>
    <t>pü 5</t>
  </si>
  <si>
    <t>Kisértékű tárgyi eszkösz</t>
  </si>
  <si>
    <t>egyéb elvonások befizetések</t>
  </si>
  <si>
    <t>a helyi önk. Előző évi elsz. Származó kiadások</t>
  </si>
  <si>
    <t xml:space="preserve">B 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</si>
  <si>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</si>
  <si>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</si>
  <si>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</si>
  <si>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</si>
  <si>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</si>
  <si>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</si>
  <si>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</si>
  <si>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</si>
  <si>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</si>
  <si>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</si>
  <si>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</si>
  <si>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</si>
  <si>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</si>
  <si>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</si>
  <si>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</si>
  <si>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</si>
  <si>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</si>
  <si>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</si>
  <si>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</si>
  <si>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</si>
  <si>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</si>
  <si>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</si>
  <si>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</si>
  <si>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működési kiadások államáztartáson belülre</t>
  </si>
  <si>
    <t xml:space="preserve">   támogatásértékű felhalmozási kiadások államháztartáson 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</si>
  <si>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</si>
  <si>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ÁFA</t>
  </si>
  <si>
    <t xml:space="preserve">M </t>
  </si>
  <si>
    <t>könyvtáros 1</t>
  </si>
  <si>
    <t>hivatalsegéd 1</t>
  </si>
  <si>
    <t>adó 3</t>
  </si>
  <si>
    <t>adóellenőr 0,5 (2 fő 6 órás 3,5 hóra)</t>
  </si>
  <si>
    <t>Bölcsődei dolgozók bértámogatása</t>
  </si>
  <si>
    <t>HÉSZ</t>
  </si>
  <si>
    <t>Ellátottak pénzbeli juttatásai</t>
  </si>
  <si>
    <t>fizikai 19</t>
  </si>
  <si>
    <t>3 dajka</t>
  </si>
  <si>
    <t>2 kisgy.nevelő</t>
  </si>
  <si>
    <t>0,5 dajka/takarító (bölcsőde)</t>
  </si>
  <si>
    <t>Napraforgó Óvoda és Bölcsőde</t>
  </si>
  <si>
    <t>adatok főben</t>
  </si>
  <si>
    <t>Teherautó</t>
  </si>
  <si>
    <t xml:space="preserve">2019 évi költségvetés </t>
  </si>
  <si>
    <t>HELYI ADÓ BEVÉTELEK 2019</t>
  </si>
  <si>
    <t>BFT pály., Tájház pály., gépbeszerzés pályázat, Leader pályázat játszótér May J. u.</t>
  </si>
  <si>
    <t>TÁMOGATÁSÉRTÉKŰ BEVÉTELEK 2019</t>
  </si>
  <si>
    <t>KÖZPONTI KÖLTSÉGVETÉSBŐL SZÁRMAZÓ TÁMOGATÁSOK 2019</t>
  </si>
  <si>
    <t>Polgármesteri illetmény támogatása</t>
  </si>
  <si>
    <t>Gyermekétkeztetés üzemeltetési támogatása (dolgozók bértámogatása, üzemeltetési tám.)</t>
  </si>
  <si>
    <t>Bölcsődei üzemeltetési támogatás</t>
  </si>
  <si>
    <t>Európai Uniós Projektek 2019</t>
  </si>
  <si>
    <t>TOP-3.1.1-16-VE1-2017-00020 Kerékpárút építése Alsóörs és Felsőörs községek területén</t>
  </si>
  <si>
    <t>TOP-1.2.1-15-VE1-2016-00035  “Varázserdő - varázserő” turisztikai látogatóközpont fejlesztés az alsóörsi kőbánya területén</t>
  </si>
  <si>
    <t>Varázserdő (kapott támogatás 254mFt, önerő 50 mFt, már kifizetett munkák -84 mFt)</t>
  </si>
  <si>
    <t>Konyhafejlesztés Óvoda</t>
  </si>
  <si>
    <t>Kerékpárút</t>
  </si>
  <si>
    <t>Temüsz telephely fejlesztés</t>
  </si>
  <si>
    <t>Március 15. utca útépítés</t>
  </si>
  <si>
    <t>Endrődi utca járda</t>
  </si>
  <si>
    <t>Margaréta köz útépítés</t>
  </si>
  <si>
    <t>VP pályázat gépbeszerzés</t>
  </si>
  <si>
    <t>Leader pályázat játszótér (May J. u.)</t>
  </si>
  <si>
    <t>Merse út építés 2019-re eső része</t>
  </si>
  <si>
    <t xml:space="preserve">Buszmegálló 2 db </t>
  </si>
  <si>
    <t>A fenti előirányzatokból 2019. költségvetési év azon fejlesztési céljai, amelyek megvalósításához a Stabilitási tv. 3. § (1) bekezdése szerinti adósságot keletkeztető ügylet megkötése válik vagy válhat szükségessé (forrás feltüntetése ezer forintban)</t>
  </si>
  <si>
    <t>BERUHÁZÁS-FELÚJÍTÁS 2019</t>
  </si>
  <si>
    <t>ÁTADOTT PÉNZESZKÖZÖK ÁLLAMHÁZTARTÁSON KÍVÜLRE 2019</t>
  </si>
  <si>
    <t>ELLÁTOTTAK JUTTATÁSAI 2019</t>
  </si>
  <si>
    <t>takarító 1</t>
  </si>
  <si>
    <t>2 szakács óvoda</t>
  </si>
  <si>
    <t>2 szakács külsősök, szoc.étkezés</t>
  </si>
  <si>
    <t>1 szakács bölcsőde</t>
  </si>
  <si>
    <t>1 ped.asszisztens</t>
  </si>
  <si>
    <t>6 óvónő, 1 óvónő int.vez</t>
  </si>
  <si>
    <t>LÉTSZÁM 2019</t>
  </si>
  <si>
    <t>KÖZVETETT TÁMOGATÁSOK 2019</t>
  </si>
  <si>
    <t>ELŐIRÁNYZAT FELHASZNÁLÁSI TERV 2019</t>
  </si>
  <si>
    <t>BFT pályázat Sirály park fejlesztés</t>
  </si>
  <si>
    <t>Ófalu parkoló térkövezés</t>
  </si>
  <si>
    <t>Áruszállító személyautó</t>
  </si>
  <si>
    <t>Felh.c.tám. EGYÉB VÁLLALKOZÁSOK</t>
  </si>
  <si>
    <t>Közös Hivatal előirányzatai</t>
  </si>
  <si>
    <t>Közös Hivatal módosított előirányzatai</t>
  </si>
  <si>
    <t>Egyéb műk.c. támogatás (Pályázat, Rendszeres gyv.kedv.)</t>
  </si>
  <si>
    <t>Egyéb műk.c. támogatás (Elkülnített Állami Pénzalapoktól - közfoglalkoztatás)</t>
  </si>
  <si>
    <t>Egyéb műk.c. támogatás (TB alapoktól és kezelőitől -védőnői finansz.)</t>
  </si>
  <si>
    <t>Temüsz előirányzatai</t>
  </si>
  <si>
    <t>Temüsz módosított előirányzatai</t>
  </si>
  <si>
    <t>papírszalag, kasszafiók, pénztárgép</t>
  </si>
  <si>
    <t>Levélfúvó-Kemping</t>
  </si>
  <si>
    <t>Fűnyíró</t>
  </si>
  <si>
    <t>kishűtők</t>
  </si>
  <si>
    <t>álló hamutartó</t>
  </si>
  <si>
    <t>Jetfloat fürdősziget, fürdőlétra</t>
  </si>
  <si>
    <t>Jetfloat korlát láb</t>
  </si>
  <si>
    <t>álló hamutartó,szállítási,fizetési klg.</t>
  </si>
  <si>
    <t>Fűkasza</t>
  </si>
  <si>
    <t>Haigleitner Mosogatógép Hagomat HB NEW</t>
  </si>
  <si>
    <t>Mosogató 2 med. csapteleppel</t>
  </si>
  <si>
    <t>Dagasztógép Hostek</t>
  </si>
  <si>
    <t>Zanussi ZWY50924CI hűtőszekrény</t>
  </si>
  <si>
    <t>Finanszírozási bevételek  (értékpapírok, és megelőlegezés -dec-i bér-)</t>
  </si>
  <si>
    <t>Egyéb műk.c. támogatás közp.ktgv.szervtől (Bursa visszautalás)</t>
  </si>
  <si>
    <t>Egyéb műk.c. támogatás társulástól (KBTÖT)</t>
  </si>
  <si>
    <t>Egyéb műk.c. támogatás Egyéb fejezeti kezelésű szervtől (választás)</t>
  </si>
  <si>
    <t>Egyéb műk.c. támogatás fejezeti kezelésű szervtől (Európai mobilitás hét)</t>
  </si>
  <si>
    <t>Egyéb műk.c. támogatás fejezeti kezelésű szervtől (BFT nyári rendezvények támogatása)</t>
  </si>
  <si>
    <t>Felh.célú önk-i támogatás (Közművelődési érdekeltségnövelő tám.)</t>
  </si>
  <si>
    <t>Támogatásértékű működési kiadás önkormányzatoknak és költségvetési szerveiknek</t>
  </si>
  <si>
    <t>Támogatásértékű működési kiadás országos térségi fejl. Tanács és ktg.vetési szervei</t>
  </si>
  <si>
    <t xml:space="preserve">Támogatásértékű működési kiadások </t>
  </si>
  <si>
    <t>TÁMOGATÁS ÉRTÉKŰ KIADÁSOK 2019</t>
  </si>
  <si>
    <t xml:space="preserve">fejezeti kezelésű előirányzatok EU-s programokra és azok hazai társfinanszírozása </t>
  </si>
  <si>
    <t>Támogatásértékű működési kiadás társulásnak (B.almádi, B.füred, szoc.feladatok ellátása)</t>
  </si>
  <si>
    <t>Felh.célú önk-i támogatás EU-s programokra (gépbeszerzés VP pályázat</t>
  </si>
  <si>
    <t>minimálbér és garantált bérminimum emelésének támogatása</t>
  </si>
  <si>
    <t xml:space="preserve">Települési önkormányzatok köznevelési feladatainak támogatása összesen </t>
  </si>
  <si>
    <t>Települési önkormányzatok köznevelési feladatainak támogatása</t>
  </si>
  <si>
    <t>Köztisztviselők bértámogatása, szoc.tüzifa, lakossági víz és csatorna tám., jó adatszolgáltató önk-ok támogatása</t>
  </si>
  <si>
    <t>Elszámolásból származó bevételelk</t>
  </si>
  <si>
    <t>normatíva elszámolásból adódó különbözet év végén</t>
  </si>
  <si>
    <t>Alsóörs Község Önkormányzatára jutó támogatás összege 385.915.241 Ft</t>
  </si>
  <si>
    <t>Ingatlan vásárlás</t>
  </si>
  <si>
    <t>Okoszebra</t>
  </si>
  <si>
    <t>Pipacs utca átalakítás</t>
  </si>
  <si>
    <t>Kossuth utca aszfaltozás</t>
  </si>
  <si>
    <t>6 db napelemes kandelláber</t>
  </si>
  <si>
    <t>Játszótéri eszközök Ált.Iskola</t>
  </si>
  <si>
    <t>Elektromos városnéző kisvonat</t>
  </si>
  <si>
    <t>Köcsi, Kajszi utcák, Tuipán köz útfelújítás</t>
  </si>
  <si>
    <t>Vis maior Fő utca támfal felújítás</t>
  </si>
  <si>
    <t>Műk.c.tám. EGYÉB VÁLLALKOZÁSOK,  DRV lakossági ivóvíz és szennyvíz pályázat, BAHART pe átadás</t>
  </si>
  <si>
    <t xml:space="preserve">Rendszeres gyermekvédelmi kedvezmény </t>
  </si>
  <si>
    <t>önkormányzat által saját hatáskörben (nem szociális és gyermekvédelmi előírások alapján) adott más ellátás (K48) ISKOLAKEZDÉSI TÁM.</t>
  </si>
  <si>
    <t>egyéb, az önkormányzat rendeletében megállapított juttatás (K48) SZÜLETÉSI, ÉLETKEZDÉSI TÁM., LAKÁSCÉLÚ TÁM-OK</t>
  </si>
  <si>
    <t>települési támogatás [Szoctv. 45. §], (K48) SEGÉLYEK, RÁSZORULTSÁG ALAPJÁN JÁRÓ TÁM.</t>
  </si>
  <si>
    <t>fizikai 21</t>
  </si>
  <si>
    <t>fizikaiból strand 4, kemping 3 temüsz 14</t>
  </si>
  <si>
    <t>fizikaiból strand 3, kemping 3 temüsz 13</t>
  </si>
  <si>
    <t>közterület felügyelő 1</t>
  </si>
  <si>
    <t>igazgatási üi.2</t>
  </si>
  <si>
    <t>1 szakács külsősök, szoc.étkezés</t>
  </si>
  <si>
    <t xml:space="preserve">   felhalmozási célú pénzeszközátadások államháztartáson belülre </t>
  </si>
  <si>
    <r>
      <rPr>
        <b/>
        <sz val="10"/>
        <rFont val="Arial"/>
        <family val="2"/>
        <charset val="238"/>
      </rPr>
      <t>"</t>
    </r>
    <r>
      <rPr>
        <sz val="10"/>
        <rFont val="Arial"/>
        <family val="2"/>
        <charset val="238"/>
      </rPr>
      <t>11. melléklet a 1/2019. (II.22) Önkormányzati rendelethez</t>
    </r>
  </si>
  <si>
    <t>"</t>
  </si>
  <si>
    <t>"1. melléklet a 1/2019. (II.22) Önkormányzati rendelethez</t>
  </si>
  <si>
    <r>
      <rPr>
        <b/>
        <sz val="10"/>
        <rFont val="Arial"/>
        <family val="2"/>
        <charset val="238"/>
      </rPr>
      <t>"</t>
    </r>
    <r>
      <rPr>
        <sz val="10"/>
        <rFont val="Arial"/>
        <family val="2"/>
        <charset val="238"/>
      </rPr>
      <t>2. melléklet a 1/2019. (II.22) Önkormányzati rendelethez</t>
    </r>
  </si>
  <si>
    <t>"3. melléklet a 1/2019. (II.22) Önkormányzati rendelethez</t>
  </si>
  <si>
    <t>"4. melléklet a1/2019. (II. 22) Önkormányzati rendelethez</t>
  </si>
  <si>
    <t>"5. melléklet a 1/2019. (II.22) Önkormányzati rendelethez</t>
  </si>
  <si>
    <t>"6. melléklet a1/2019. (II.22) Önkormányzati rendelethez</t>
  </si>
  <si>
    <t>"7. melléklet a 1/2019. (II.22) Önkormányzati rendelethez</t>
  </si>
  <si>
    <t>"8. melléklet a 1/2019. (II.22) Önkormányzati rendelethez</t>
  </si>
  <si>
    <t>"9. melléklet a 1/2019. (II.22) Önkormányzati rendelethez</t>
  </si>
  <si>
    <t>"10. melléklet a1/2019. (II.22) Önkormányzati rendelethez</t>
  </si>
  <si>
    <t>"12. melléklet a 1/2019. (II. 22) Önkormányzati rendelethez</t>
  </si>
  <si>
    <t>méltányossági alapon, valamint az önk.rendlete alapján</t>
  </si>
  <si>
    <t>11. melléklet 4/2020. (VII.17.) Önkormányzati rendelethez</t>
  </si>
  <si>
    <t>1. melléklet4/2020. (VII.17.) Önkormányzati rendelethez</t>
  </si>
  <si>
    <t>2. melléklet 4/2020. (VII.17.) Önkormányzati rendelethez</t>
  </si>
  <si>
    <t>3. melléklet 4/2020. (VII.17.) Önkormányzati rendelethez</t>
  </si>
  <si>
    <t>4. melléklet 4/2020. (VII.17.) Önkormányzati rendelethez</t>
  </si>
  <si>
    <t>5. melléklet 4/2020. (VII.17.) Önkormányzati rendelethez</t>
  </si>
  <si>
    <t>6. melléklet4/2020. (VII.17.) Önkormányzati rendelethez</t>
  </si>
  <si>
    <t>7. melléklet 4/2020. (VII.17.) Önkormányzati rendelethez</t>
  </si>
  <si>
    <t>8. melléklet 4/2020. (VII.17.) Önkormányzati rendelethez</t>
  </si>
  <si>
    <t>9. melléklet 4/2020. (VII.17.) Önkormányzati rendelethez</t>
  </si>
  <si>
    <t>10. melléklet 4/2020. (VII.17.) Önkormányzati rendelethez</t>
  </si>
  <si>
    <t>12. melléklet4/2020. (VII.17.)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</si>
</sst>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_-* #,##0\ _F_t_-;\-* #,##0\ _F_t_-;_-* \-??\ _F_t_-;_-@_-"/>
  </numFmts>
  <fonts count="47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49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10" fillId="0" borderId="1" xfId="4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>
      <alignment wrapText="1"/>
    </xf>
    <xf numFmtId="164" fontId="11" fillId="2" borderId="1" xfId="4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wrapText="1"/>
    </xf>
    <xf numFmtId="165" fontId="2" fillId="0" borderId="0" xfId="1" applyNumberFormat="1" applyFont="1" applyFill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right" vertical="center" wrapText="1"/>
    </xf>
    <xf numFmtId="164" fontId="20" fillId="0" borderId="1" xfId="4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164" fontId="21" fillId="0" borderId="0" xfId="4" applyNumberFormat="1" applyFont="1" applyFill="1" applyBorder="1" applyAlignment="1">
      <alignment horizontal="left" vertical="center" wrapText="1"/>
    </xf>
    <xf numFmtId="164" fontId="22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/>
    <xf numFmtId="165" fontId="2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/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 applyBorder="1"/>
    <xf numFmtId="3" fontId="13" fillId="0" borderId="0" xfId="0" applyNumberFormat="1" applyFont="1" applyBorder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1" fontId="29" fillId="0" borderId="0" xfId="0" applyNumberFormat="1" applyFont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center"/>
    </xf>
    <xf numFmtId="1" fontId="28" fillId="0" borderId="1" xfId="0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5" fontId="28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4" fontId="21" fillId="0" borderId="0" xfId="4" applyNumberFormat="1" applyFont="1" applyFill="1" applyBorder="1" applyAlignment="1">
      <alignment vertical="center" wrapText="1"/>
    </xf>
    <xf numFmtId="164" fontId="20" fillId="0" borderId="0" xfId="4" applyNumberFormat="1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1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2" fillId="0" borderId="0" xfId="0" applyFont="1"/>
    <xf numFmtId="0" fontId="17" fillId="0" borderId="1" xfId="0" applyFont="1" applyFill="1" applyBorder="1" applyAlignment="1">
      <alignment wrapText="1"/>
    </xf>
    <xf numFmtId="2" fontId="33" fillId="0" borderId="1" xfId="4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17" fillId="0" borderId="0" xfId="0" applyFont="1" applyFill="1" applyBorder="1" applyAlignment="1">
      <alignment wrapText="1"/>
    </xf>
    <xf numFmtId="2" fontId="33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4" fillId="3" borderId="4" xfId="0" applyFont="1" applyFill="1" applyBorder="1" applyAlignment="1">
      <alignment wrapText="1"/>
    </xf>
    <xf numFmtId="0" fontId="35" fillId="0" borderId="5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 wrapText="1"/>
    </xf>
    <xf numFmtId="0" fontId="36" fillId="0" borderId="8" xfId="0" applyFont="1" applyFill="1" applyBorder="1"/>
    <xf numFmtId="3" fontId="36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34" fillId="3" borderId="11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0" fontId="2" fillId="0" borderId="0" xfId="0" applyFont="1" applyBorder="1"/>
    <xf numFmtId="0" fontId="27" fillId="0" borderId="0" xfId="0" applyFont="1"/>
    <xf numFmtId="0" fontId="6" fillId="0" borderId="0" xfId="2" applyFont="1" applyAlignment="1" applyProtection="1"/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165" fontId="16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justify" vertical="center" wrapText="1"/>
    </xf>
    <xf numFmtId="165" fontId="17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17" fillId="5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5" fontId="17" fillId="6" borderId="1" xfId="1" applyNumberFormat="1" applyFont="1" applyFill="1" applyBorder="1" applyAlignment="1">
      <alignment vertical="center" wrapText="1"/>
    </xf>
    <xf numFmtId="165" fontId="38" fillId="6" borderId="1" xfId="1" applyNumberFormat="1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1" xfId="0" applyFont="1" applyBorder="1"/>
    <xf numFmtId="0" fontId="30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30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 applyAlignment="1">
      <alignment vertical="center" shrinkToFit="1"/>
    </xf>
    <xf numFmtId="0" fontId="5" fillId="0" borderId="0" xfId="0" applyFont="1"/>
    <xf numFmtId="0" fontId="5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5" fillId="0" borderId="0" xfId="0" applyFont="1" applyBorder="1"/>
    <xf numFmtId="165" fontId="2" fillId="0" borderId="0" xfId="1" applyNumberFormat="1" applyFont="1" applyFill="1" applyAlignment="1">
      <alignment horizontal="center" vertical="center"/>
    </xf>
    <xf numFmtId="0" fontId="43" fillId="0" borderId="2" xfId="0" applyFont="1" applyBorder="1"/>
    <xf numFmtId="166" fontId="44" fillId="0" borderId="3" xfId="1" applyNumberFormat="1" applyFont="1" applyFill="1" applyBorder="1" applyAlignment="1" applyProtection="1"/>
    <xf numFmtId="0" fontId="43" fillId="0" borderId="2" xfId="0" applyFont="1" applyBorder="1" applyAlignment="1">
      <alignment wrapText="1"/>
    </xf>
    <xf numFmtId="165" fontId="13" fillId="0" borderId="1" xfId="1" applyNumberFormat="1" applyFont="1" applyBorder="1" applyAlignment="1">
      <alignment vertical="center"/>
    </xf>
    <xf numFmtId="0" fontId="0" fillId="0" borderId="0" xfId="0" applyFill="1" applyAlignment="1">
      <alignment wrapText="1"/>
    </xf>
    <xf numFmtId="165" fontId="25" fillId="0" borderId="12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3" fillId="9" borderId="0" xfId="0" applyFont="1" applyFill="1" applyBorder="1" applyAlignment="1">
      <alignment wrapText="1"/>
    </xf>
    <xf numFmtId="166" fontId="44" fillId="9" borderId="1" xfId="1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0" xfId="0" applyFont="1" applyFill="1" applyAlignment="1"/>
    <xf numFmtId="0" fontId="0" fillId="0" borderId="2" xfId="0" applyBorder="1" applyAlignment="1" applyProtection="1">
      <alignment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4" applyNumberFormat="1" applyFont="1" applyFill="1" applyBorder="1" applyAlignment="1">
      <alignment horizontal="left" vertical="center" wrapText="1"/>
    </xf>
    <xf numFmtId="3" fontId="45" fillId="0" borderId="1" xfId="4" applyNumberFormat="1" applyFont="1" applyFill="1" applyBorder="1" applyAlignment="1">
      <alignment horizontal="right" vertical="center"/>
    </xf>
    <xf numFmtId="3" fontId="45" fillId="0" borderId="1" xfId="4" applyNumberFormat="1" applyFont="1" applyFill="1" applyBorder="1" applyAlignment="1">
      <alignment horizontal="right" vertical="center" wrapText="1"/>
    </xf>
    <xf numFmtId="164" fontId="45" fillId="0" borderId="0" xfId="4" applyNumberFormat="1" applyFont="1" applyFill="1" applyBorder="1" applyAlignment="1">
      <alignment horizontal="left" vertical="center"/>
    </xf>
    <xf numFmtId="164" fontId="45" fillId="0" borderId="0" xfId="4" applyNumberFormat="1" applyFont="1" applyFill="1" applyBorder="1" applyAlignment="1">
      <alignment horizontal="left" vertical="center" wrapText="1"/>
    </xf>
    <xf numFmtId="164" fontId="25" fillId="0" borderId="1" xfId="4" applyNumberFormat="1" applyFont="1" applyFill="1" applyBorder="1" applyAlignment="1">
      <alignment horizontal="left" vertical="center" wrapText="1"/>
    </xf>
    <xf numFmtId="3" fontId="46" fillId="0" borderId="1" xfId="4" applyNumberFormat="1" applyFont="1" applyFill="1" applyBorder="1" applyAlignment="1">
      <alignment horizontal="right" vertical="center" wrapText="1"/>
    </xf>
    <xf numFmtId="164" fontId="46" fillId="0" borderId="0" xfId="4" applyNumberFormat="1" applyFont="1" applyFill="1" applyBorder="1" applyAlignment="1">
      <alignment horizontal="left" vertical="center" wrapText="1"/>
    </xf>
    <xf numFmtId="164" fontId="11" fillId="7" borderId="1" xfId="4" applyNumberFormat="1" applyFont="1" applyFill="1" applyBorder="1" applyAlignment="1">
      <alignment horizontal="left" vertical="center" wrapText="1"/>
    </xf>
    <xf numFmtId="3" fontId="21" fillId="7" borderId="1" xfId="4" applyNumberFormat="1" applyFont="1" applyFill="1" applyBorder="1" applyAlignment="1">
      <alignment horizontal="right" vertical="center" wrapText="1"/>
    </xf>
    <xf numFmtId="164" fontId="20" fillId="10" borderId="1" xfId="4" applyNumberFormat="1" applyFont="1" applyFill="1" applyBorder="1" applyAlignment="1">
      <alignment horizontal="left" vertical="center" wrapText="1"/>
    </xf>
    <xf numFmtId="3" fontId="21" fillId="10" borderId="1" xfId="4" applyNumberFormat="1" applyFont="1" applyFill="1" applyBorder="1" applyAlignment="1">
      <alignment horizontal="right" vertical="center" wrapText="1"/>
    </xf>
    <xf numFmtId="3" fontId="3" fillId="10" borderId="1" xfId="4" applyNumberFormat="1" applyFont="1" applyFill="1" applyBorder="1" applyAlignment="1">
      <alignment horizontal="right" vertical="center"/>
    </xf>
    <xf numFmtId="3" fontId="3" fillId="10" borderId="1" xfId="4" applyNumberFormat="1" applyFont="1" applyFill="1" applyBorder="1" applyAlignment="1">
      <alignment horizontal="right" vertical="center" wrapText="1"/>
    </xf>
    <xf numFmtId="3" fontId="3" fillId="9" borderId="1" xfId="4" applyNumberFormat="1" applyFont="1" applyFill="1" applyBorder="1" applyAlignment="1">
      <alignment horizontal="right" vertical="center"/>
    </xf>
    <xf numFmtId="3" fontId="3" fillId="9" borderId="1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44" fillId="0" borderId="17" xfId="1" applyNumberFormat="1" applyFont="1" applyFill="1" applyBorder="1" applyAlignment="1" applyProtection="1"/>
    <xf numFmtId="166" fontId="44" fillId="0" borderId="1" xfId="1" applyNumberFormat="1" applyFont="1" applyFill="1" applyBorder="1" applyAlignment="1" applyProtection="1"/>
    <xf numFmtId="166" fontId="44" fillId="0" borderId="18" xfId="1" applyNumberFormat="1" applyFont="1" applyFill="1" applyBorder="1" applyAlignment="1" applyProtection="1"/>
    <xf numFmtId="165" fontId="28" fillId="0" borderId="7" xfId="1" applyNumberFormat="1" applyFont="1" applyBorder="1" applyAlignment="1">
      <alignment horizontal="right" vertical="center"/>
    </xf>
    <xf numFmtId="3" fontId="13" fillId="9" borderId="1" xfId="0" applyNumberFormat="1" applyFont="1" applyFill="1" applyBorder="1" applyAlignment="1">
      <alignment wrapText="1"/>
    </xf>
    <xf numFmtId="165" fontId="28" fillId="9" borderId="1" xfId="1" applyNumberFormat="1" applyFont="1" applyFill="1" applyBorder="1" applyAlignment="1">
      <alignment vertical="center" wrapText="1"/>
    </xf>
    <xf numFmtId="3" fontId="28" fillId="9" borderId="1" xfId="0" applyNumberFormat="1" applyFont="1" applyFill="1" applyBorder="1" applyAlignment="1">
      <alignment vertical="center"/>
    </xf>
    <xf numFmtId="165" fontId="28" fillId="9" borderId="1" xfId="1" applyNumberFormat="1" applyFont="1" applyFill="1" applyBorder="1" applyAlignment="1">
      <alignment horizontal="right" vertical="center"/>
    </xf>
    <xf numFmtId="0" fontId="43" fillId="0" borderId="19" xfId="0" applyFont="1" applyBorder="1"/>
    <xf numFmtId="0" fontId="43" fillId="0" borderId="1" xfId="0" applyFont="1" applyBorder="1" applyAlignment="1">
      <alignment wrapText="1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75" workbookViewId="0">
      <selection activeCell="E1" sqref="E1"/>
    </sheetView>
  </sheetViews>
  <sheetFormatPr defaultColWidth="9.125" defaultRowHeight="14.15"/>
  <cols>
    <col min="1" max="1" width="9.125" style="147" customWidth="1"/>
    <col min="2" max="2" width="48" style="147" customWidth="1"/>
    <col min="3" max="3" width="21.5" style="150" customWidth="1"/>
    <col min="4" max="4" width="21.625" style="150" customWidth="1"/>
    <col min="5" max="5" width="49.5" style="147" customWidth="1"/>
    <col min="6" max="6" width="20.125" style="150" customWidth="1"/>
    <col min="7" max="7" width="20.875" style="150" customWidth="1"/>
    <col min="8" max="8" width="20.625" style="147" customWidth="1"/>
    <col min="9" max="9" width="18" style="147" customWidth="1"/>
    <col min="10" max="16384" width="9.125" style="147"/>
  </cols>
  <sheetData>
    <row r="1" spans="1:7">
      <c r="E1" s="147" t="s">
        <v>328</v>
      </c>
    </row>
    <row r="2" spans="1:7" ht="14.3" customHeight="1">
      <c r="B2" s="239" t="s">
        <v>314</v>
      </c>
      <c r="C2" s="239"/>
      <c r="D2" s="239"/>
      <c r="E2" s="239"/>
      <c r="F2" s="239"/>
      <c r="G2" s="239"/>
    </row>
    <row r="3" spans="1:7" ht="14.3" customHeight="1">
      <c r="B3" s="148"/>
      <c r="C3" s="148"/>
      <c r="D3" s="148"/>
      <c r="E3" s="240"/>
      <c r="F3" s="240"/>
      <c r="G3" s="240"/>
    </row>
    <row r="4" spans="1:7" ht="20.5">
      <c r="B4" s="149" t="s">
        <v>105</v>
      </c>
      <c r="D4" s="149">
        <v>2019</v>
      </c>
      <c r="E4" s="149"/>
    </row>
    <row r="5" spans="1:7">
      <c r="F5" s="150" t="s">
        <v>81</v>
      </c>
    </row>
    <row r="6" spans="1:7" ht="60.2" customHeight="1">
      <c r="B6" s="151" t="s">
        <v>0</v>
      </c>
      <c r="C6" s="152" t="s">
        <v>106</v>
      </c>
      <c r="D6" s="152" t="s">
        <v>107</v>
      </c>
      <c r="E6" s="152" t="s">
        <v>0</v>
      </c>
      <c r="F6" s="152" t="s">
        <v>106</v>
      </c>
      <c r="G6" s="152" t="s">
        <v>107</v>
      </c>
    </row>
    <row r="7" spans="1:7">
      <c r="B7" s="151" t="s">
        <v>5</v>
      </c>
      <c r="C7" s="152" t="s">
        <v>6</v>
      </c>
      <c r="D7" s="152" t="s">
        <v>7</v>
      </c>
      <c r="E7" s="151" t="s">
        <v>108</v>
      </c>
      <c r="F7" s="152" t="s">
        <v>9</v>
      </c>
      <c r="G7" s="152" t="s">
        <v>10</v>
      </c>
    </row>
    <row r="8" spans="1:7" ht="107.3" customHeight="1">
      <c r="A8" s="147">
        <v>1</v>
      </c>
      <c r="B8" s="153" t="s">
        <v>192</v>
      </c>
      <c r="C8" s="154">
        <f>'1 bevétel-kiadás'!K8</f>
        <v>270401030</v>
      </c>
      <c r="D8" s="154">
        <f>'1 bevétel-kiadás'!D8+'1 bevétel-kiadás'!F8+'1 bevétel-kiadás'!H8+'1 bevétel-kiadás'!J8</f>
        <v>292488932</v>
      </c>
      <c r="E8" s="155" t="s">
        <v>38</v>
      </c>
      <c r="F8" s="154">
        <f>'1 bevétel-kiadás'!K37</f>
        <v>243023688</v>
      </c>
      <c r="G8" s="154">
        <f>'1 bevétel-kiadás'!D37+'1 bevétel-kiadás'!F37+'1 bevétel-kiadás'!H37+'1 bevétel-kiadás'!J37</f>
        <v>265035904</v>
      </c>
    </row>
    <row r="9" spans="1:7" ht="44.5">
      <c r="A9" s="147">
        <v>2</v>
      </c>
      <c r="B9" s="153" t="s">
        <v>193</v>
      </c>
      <c r="C9" s="154">
        <f>'1 bevétel-kiadás'!K9</f>
        <v>251800000</v>
      </c>
      <c r="D9" s="154">
        <f>'1 bevétel-kiadás'!D9</f>
        <v>301224351</v>
      </c>
      <c r="E9" s="155" t="s">
        <v>39</v>
      </c>
      <c r="F9" s="154">
        <f>'1 bevétel-kiadás'!K38</f>
        <v>50298450</v>
      </c>
      <c r="G9" s="154">
        <f>'1 bevétel-kiadás'!D38+'1 bevétel-kiadás'!F38+'1 bevétel-kiadás'!H38+'1 bevétel-kiadás'!J38</f>
        <v>50383098</v>
      </c>
    </row>
    <row r="10" spans="1:7" ht="14.85">
      <c r="A10" s="147">
        <v>3</v>
      </c>
      <c r="B10" s="156" t="s">
        <v>18</v>
      </c>
      <c r="C10" s="154">
        <f>'1 bevétel-kiadás'!K10</f>
        <v>242000000</v>
      </c>
      <c r="D10" s="154">
        <f>'1 bevétel-kiadás'!D10</f>
        <v>292304245</v>
      </c>
      <c r="E10" s="155" t="s">
        <v>40</v>
      </c>
      <c r="F10" s="154">
        <f>'1 bevétel-kiadás'!K39</f>
        <v>291310878</v>
      </c>
      <c r="G10" s="154">
        <f>'1 bevétel-kiadás'!D39+'1 bevétel-kiadás'!F39+'1 bevétel-kiadás'!H39+'1 bevétel-kiadás'!J39</f>
        <v>368774081</v>
      </c>
    </row>
    <row r="11" spans="1:7" ht="29.65">
      <c r="A11" s="147">
        <v>4</v>
      </c>
      <c r="B11" s="156" t="s">
        <v>19</v>
      </c>
      <c r="C11" s="154">
        <f>'1 bevétel-kiadás'!K11</f>
        <v>0</v>
      </c>
      <c r="D11" s="154">
        <v>0</v>
      </c>
      <c r="E11" s="157" t="s">
        <v>109</v>
      </c>
      <c r="F11" s="158">
        <f>'1 bevétel-kiadás'!C40</f>
        <v>226304350</v>
      </c>
      <c r="G11" s="158">
        <f>'1 bevétel-kiadás'!D40</f>
        <v>222867765</v>
      </c>
    </row>
    <row r="12" spans="1:7" ht="14.85">
      <c r="A12" s="147">
        <v>5</v>
      </c>
      <c r="B12" s="156" t="s">
        <v>20</v>
      </c>
      <c r="C12" s="154">
        <f>'1 bevétel-kiadás'!K12</f>
        <v>2500000</v>
      </c>
      <c r="D12" s="154">
        <f>'1 bevétel-kiadás'!D12</f>
        <v>1847922</v>
      </c>
      <c r="E12" s="155" t="s">
        <v>42</v>
      </c>
      <c r="F12" s="154">
        <f>SUM(F13:F17)</f>
        <v>93842476</v>
      </c>
      <c r="G12" s="154">
        <f>SUM(G13:G17)</f>
        <v>90920071</v>
      </c>
    </row>
    <row r="13" spans="1:7">
      <c r="A13" s="147">
        <v>6</v>
      </c>
      <c r="B13" s="156" t="s">
        <v>71</v>
      </c>
      <c r="C13" s="154">
        <f>'1 bevétel-kiadás'!K13</f>
        <v>7300000</v>
      </c>
      <c r="D13" s="154">
        <f>'1 bevétel-kiadás'!D13</f>
        <v>7072184</v>
      </c>
      <c r="E13" s="159" t="s">
        <v>43</v>
      </c>
      <c r="F13" s="154">
        <f>'1 bevétel-kiadás'!K42</f>
        <v>4350000</v>
      </c>
      <c r="G13" s="154">
        <f>'1 bevétel-kiadás'!L42</f>
        <v>4887405</v>
      </c>
    </row>
    <row r="14" spans="1:7" ht="28.25">
      <c r="A14" s="147">
        <v>7</v>
      </c>
      <c r="B14" s="153" t="s">
        <v>22</v>
      </c>
      <c r="C14" s="154">
        <f>'1 bevétel-kiadás'!C15</f>
        <v>206168879</v>
      </c>
      <c r="D14" s="154">
        <f>'1 bevétel-kiadás'!D15</f>
        <v>225714151</v>
      </c>
      <c r="E14" s="160" t="s">
        <v>44</v>
      </c>
      <c r="F14" s="154">
        <f>'1 bevétel-kiadás'!K43</f>
        <v>0</v>
      </c>
      <c r="G14" s="154"/>
    </row>
    <row r="15" spans="1:7" ht="29.65">
      <c r="A15" s="147">
        <v>8</v>
      </c>
      <c r="B15" s="153" t="s">
        <v>23</v>
      </c>
      <c r="C15" s="154">
        <f>'1 bevétel-kiadás'!C16</f>
        <v>1800000</v>
      </c>
      <c r="D15" s="154">
        <f>'1 bevétel-kiadás'!L16</f>
        <v>17245141</v>
      </c>
      <c r="E15" s="159" t="s">
        <v>45</v>
      </c>
      <c r="F15" s="154">
        <f>'1 bevétel-kiadás'!C46</f>
        <v>89492476</v>
      </c>
      <c r="G15" s="154">
        <f>'1 bevétel-kiadás'!D46</f>
        <v>85656526</v>
      </c>
    </row>
    <row r="16" spans="1:7" ht="14.85">
      <c r="A16" s="147">
        <v>9</v>
      </c>
      <c r="B16" s="153" t="s">
        <v>24</v>
      </c>
      <c r="C16" s="154">
        <f>'1 bevétel-kiadás'!C17</f>
        <v>0</v>
      </c>
      <c r="D16" s="154">
        <f>'1 bevétel-kiadás'!D17</f>
        <v>2646187</v>
      </c>
      <c r="E16" s="159" t="s">
        <v>169</v>
      </c>
      <c r="F16" s="154">
        <f>'1 bevétel-kiadás'!K45</f>
        <v>0</v>
      </c>
      <c r="G16" s="154">
        <f>'1 bevétel-kiadás'!D44</f>
        <v>0</v>
      </c>
    </row>
    <row r="17" spans="1:7" ht="29.65">
      <c r="A17" s="147">
        <v>10</v>
      </c>
      <c r="B17" s="153" t="s">
        <v>165</v>
      </c>
      <c r="C17" s="154">
        <f>'1 bevétel-kiadás'!C18</f>
        <v>0</v>
      </c>
      <c r="D17" s="154">
        <v>0</v>
      </c>
      <c r="E17" s="159" t="s">
        <v>168</v>
      </c>
      <c r="F17" s="154">
        <v>0</v>
      </c>
      <c r="G17" s="154">
        <f>'1 bevétel-kiadás'!D45</f>
        <v>376140</v>
      </c>
    </row>
    <row r="18" spans="1:7" ht="29.65">
      <c r="A18" s="147">
        <v>11</v>
      </c>
      <c r="B18" s="162" t="s">
        <v>26</v>
      </c>
      <c r="C18" s="154">
        <f>C8+C9+C14+C15+C16</f>
        <v>730169909</v>
      </c>
      <c r="D18" s="154">
        <f>D8+D9+D14+D15+D16</f>
        <v>839318762</v>
      </c>
      <c r="E18" s="161" t="s">
        <v>138</v>
      </c>
      <c r="F18" s="154">
        <f>'1 bevétel-kiadás'!K47</f>
        <v>4000000</v>
      </c>
      <c r="G18" s="154">
        <f>'1 bevétel-kiadás'!D47</f>
        <v>2773000</v>
      </c>
    </row>
    <row r="19" spans="1:7" ht="29.65">
      <c r="A19" s="147">
        <v>12</v>
      </c>
      <c r="B19" s="153" t="s">
        <v>27</v>
      </c>
      <c r="C19" s="154">
        <f>'1 bevétel-kiadás'!C20</f>
        <v>28836000</v>
      </c>
      <c r="D19" s="154">
        <f>'1 bevétel-kiadás'!D20</f>
        <v>9746597</v>
      </c>
      <c r="E19" s="155" t="s">
        <v>46</v>
      </c>
      <c r="F19" s="200">
        <f>SUM(F20:F21)</f>
        <v>29270934</v>
      </c>
      <c r="G19" s="200">
        <f>SUM(G20:G21)</f>
        <v>492774933</v>
      </c>
    </row>
    <row r="20" spans="1:7" ht="29.65">
      <c r="A20" s="147">
        <v>13</v>
      </c>
      <c r="B20" s="153" t="s">
        <v>28</v>
      </c>
      <c r="C20" s="154">
        <f>'1 bevétel-kiadás'!C21</f>
        <v>1550000</v>
      </c>
      <c r="D20" s="154">
        <f>'1 bevétel-kiadás'!D21</f>
        <v>4158576</v>
      </c>
      <c r="E20" s="160" t="s">
        <v>47</v>
      </c>
      <c r="F20" s="154">
        <f>'1 bevétel-kiadás'!K49</f>
        <v>28570934</v>
      </c>
      <c r="G20" s="154">
        <f>'1 bevétel-kiadás'!D49</f>
        <v>492774933</v>
      </c>
    </row>
    <row r="21" spans="1:7" ht="44.5">
      <c r="A21" s="147">
        <v>14</v>
      </c>
      <c r="B21" s="153" t="s">
        <v>29</v>
      </c>
      <c r="C21" s="154">
        <f>'1 bevétel-kiadás'!C22</f>
        <v>46496063</v>
      </c>
      <c r="D21" s="154">
        <f>'1 bevétel-kiadás'!D22</f>
        <v>83627913</v>
      </c>
      <c r="E21" s="160" t="s">
        <v>48</v>
      </c>
      <c r="F21" s="154">
        <f>'1 bevétel-kiadás'!K50</f>
        <v>700000</v>
      </c>
      <c r="G21" s="154">
        <f>'1 bevétel-kiadás'!D50</f>
        <v>0</v>
      </c>
    </row>
    <row r="22" spans="1:7" ht="29.65">
      <c r="A22" s="147">
        <v>15</v>
      </c>
      <c r="B22" s="153" t="s">
        <v>30</v>
      </c>
      <c r="C22" s="154">
        <f>'1 bevétel-kiadás'!C23</f>
        <v>0</v>
      </c>
      <c r="D22" s="154">
        <v>0</v>
      </c>
      <c r="E22" s="163" t="s">
        <v>110</v>
      </c>
      <c r="F22" s="154">
        <f>F19+F12+F10+F9+F8+F18</f>
        <v>711746426</v>
      </c>
      <c r="G22" s="154">
        <f>G19+G12+G10+G9+G8+G18</f>
        <v>1270661087</v>
      </c>
    </row>
    <row r="23" spans="1:7" ht="14.85">
      <c r="A23" s="147">
        <v>16</v>
      </c>
      <c r="B23" s="162" t="s">
        <v>32</v>
      </c>
      <c r="C23" s="154">
        <f>SUM(C19:C22)</f>
        <v>76882063</v>
      </c>
      <c r="D23" s="154">
        <f>SUM(D19:D22)</f>
        <v>97533086</v>
      </c>
      <c r="E23" s="161" t="s">
        <v>50</v>
      </c>
      <c r="F23" s="154">
        <f>'1 bevétel-kiadás'!K52</f>
        <v>820150789</v>
      </c>
      <c r="G23" s="154">
        <f>'1 bevétel-kiadás'!L52</f>
        <v>341031648</v>
      </c>
    </row>
    <row r="24" spans="1:7" ht="14.85">
      <c r="A24" s="147">
        <v>17</v>
      </c>
      <c r="B24" s="166" t="s">
        <v>112</v>
      </c>
      <c r="C24" s="154">
        <f>C23+C18</f>
        <v>807051972</v>
      </c>
      <c r="D24" s="154">
        <f>D23+D18</f>
        <v>936851848</v>
      </c>
      <c r="E24" s="161" t="s">
        <v>51</v>
      </c>
      <c r="F24" s="154">
        <f>'1 bevétel-kiadás'!K53</f>
        <v>0</v>
      </c>
      <c r="G24" s="154">
        <f>'1 bevétel-kiadás'!L53</f>
        <v>17289018</v>
      </c>
    </row>
    <row r="25" spans="1:7" ht="44.5">
      <c r="A25" s="147">
        <v>18</v>
      </c>
      <c r="B25" s="167" t="s">
        <v>34</v>
      </c>
      <c r="C25" s="154">
        <f>'1 bevétel-kiadás'!K27</f>
        <v>645483000</v>
      </c>
      <c r="D25" s="154">
        <f>'1 bevétel-kiadás'!L27</f>
        <v>635586727</v>
      </c>
      <c r="E25" s="164" t="s">
        <v>54</v>
      </c>
      <c r="F25" s="154"/>
      <c r="G25" s="154"/>
    </row>
    <row r="26" spans="1:7" ht="28.25">
      <c r="A26" s="147">
        <v>19</v>
      </c>
      <c r="B26" s="167" t="s">
        <v>35</v>
      </c>
      <c r="C26" s="154">
        <f>'1 bevétel-kiadás'!K28</f>
        <v>86804000</v>
      </c>
      <c r="D26" s="154">
        <f>'1 bevétel-kiadás'!D28</f>
        <v>65930449</v>
      </c>
      <c r="E26" s="165" t="s">
        <v>313</v>
      </c>
      <c r="F26" s="154"/>
      <c r="G26" s="154">
        <f>'1 bevétel-kiadás'!L56</f>
        <v>1291528</v>
      </c>
    </row>
    <row r="27" spans="1:7" ht="28.25">
      <c r="A27" s="147">
        <v>20</v>
      </c>
      <c r="B27" s="169" t="s">
        <v>114</v>
      </c>
      <c r="C27" s="154">
        <f>C24+C26+C25</f>
        <v>1539338972</v>
      </c>
      <c r="D27" s="154">
        <f>D24+D26+D25</f>
        <v>1638369024</v>
      </c>
      <c r="E27" s="165" t="s">
        <v>55</v>
      </c>
      <c r="F27" s="154"/>
      <c r="G27" s="154">
        <f>'1 bevétel-kiadás'!D57</f>
        <v>200000</v>
      </c>
    </row>
    <row r="28" spans="1:7">
      <c r="A28" s="147">
        <v>21</v>
      </c>
      <c r="E28" s="163" t="s">
        <v>111</v>
      </c>
      <c r="F28" s="154">
        <f>F24+F23</f>
        <v>820150789</v>
      </c>
      <c r="G28" s="154">
        <f>G24+G23+G26+G27</f>
        <v>359812194</v>
      </c>
    </row>
    <row r="29" spans="1:7">
      <c r="A29" s="147">
        <v>22</v>
      </c>
      <c r="E29" s="166" t="s">
        <v>113</v>
      </c>
      <c r="F29" s="154">
        <f>F22+F28</f>
        <v>1531897215</v>
      </c>
      <c r="G29" s="154">
        <f>G22+G28</f>
        <v>1630473281</v>
      </c>
    </row>
    <row r="30" spans="1:7" ht="14.85">
      <c r="A30" s="147">
        <v>23</v>
      </c>
      <c r="E30" s="167" t="s">
        <v>58</v>
      </c>
      <c r="F30" s="154">
        <f>'1 bevétel-kiadás'!C60</f>
        <v>7441757</v>
      </c>
      <c r="G30" s="154">
        <f>'1 bevétel-kiadás'!D60</f>
        <v>7895743</v>
      </c>
    </row>
    <row r="31" spans="1:7" ht="83.3" customHeight="1">
      <c r="A31" s="147">
        <v>24</v>
      </c>
      <c r="E31" s="168" t="s">
        <v>115</v>
      </c>
      <c r="F31" s="154">
        <f>F30+F29</f>
        <v>1539338972</v>
      </c>
      <c r="G31" s="154">
        <f>G30+G29</f>
        <v>1638369024</v>
      </c>
    </row>
    <row r="32" spans="1:7" ht="54" customHeight="1">
      <c r="G32" s="150" t="s">
        <v>315</v>
      </c>
    </row>
    <row r="40" ht="68.3" customHeight="1"/>
    <row r="46" ht="97.6" customHeight="1"/>
  </sheetData>
  <mergeCells count="2">
    <mergeCell ref="B2:G2"/>
    <mergeCell ref="E3:G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topLeftCell="C1" zoomScale="75" zoomScaleNormal="75" workbookViewId="0">
      <selection activeCell="K1" sqref="K1"/>
    </sheetView>
  </sheetViews>
  <sheetFormatPr defaultColWidth="9.125" defaultRowHeight="12.7"/>
  <cols>
    <col min="1" max="1" width="7.375" style="1" customWidth="1"/>
    <col min="2" max="2" width="50" style="76" customWidth="1"/>
    <col min="3" max="4" width="19.5" style="21" customWidth="1"/>
    <col min="5" max="6" width="19.375" style="21" customWidth="1"/>
    <col min="7" max="8" width="17.5" style="21" customWidth="1"/>
    <col min="9" max="9" width="17.375" style="21" customWidth="1"/>
    <col min="10" max="10" width="17.5" style="21" customWidth="1"/>
    <col min="11" max="11" width="19.5" style="21" customWidth="1"/>
    <col min="12" max="12" width="18.625" style="21" customWidth="1"/>
    <col min="13" max="13" width="19.5" style="21" customWidth="1"/>
    <col min="14" max="14" width="19.625" style="21" customWidth="1"/>
    <col min="15" max="15" width="19.375" style="21" customWidth="1"/>
    <col min="16" max="16" width="19.5" style="21" customWidth="1"/>
    <col min="17" max="16384" width="9.125" style="1"/>
  </cols>
  <sheetData>
    <row r="1" spans="1:16">
      <c r="C1" s="226"/>
      <c r="D1" s="226"/>
      <c r="E1" s="226"/>
      <c r="F1" s="226"/>
      <c r="G1" s="226"/>
      <c r="H1" s="226"/>
      <c r="I1" s="226"/>
      <c r="J1" s="226"/>
      <c r="K1" s="238" t="s">
        <v>337</v>
      </c>
      <c r="L1" s="226"/>
      <c r="M1" s="226"/>
      <c r="N1" s="226"/>
      <c r="O1" s="226"/>
      <c r="P1" s="226"/>
    </row>
    <row r="2" spans="1:16">
      <c r="B2" s="244" t="s">
        <v>324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ht="27.55">
      <c r="B3" s="119"/>
      <c r="L3" s="244"/>
      <c r="M3" s="244"/>
      <c r="N3" s="244"/>
      <c r="O3" s="244"/>
      <c r="P3" s="244"/>
    </row>
    <row r="4" spans="1:16" ht="20.5">
      <c r="B4" s="120" t="s">
        <v>245</v>
      </c>
    </row>
    <row r="5" spans="1:16" ht="20.5">
      <c r="B5" s="120"/>
      <c r="N5" s="201" t="s">
        <v>211</v>
      </c>
    </row>
    <row r="6" spans="1:16" ht="79.599999999999994" customHeight="1">
      <c r="B6" s="53" t="s">
        <v>0</v>
      </c>
      <c r="C6" s="47" t="s">
        <v>1</v>
      </c>
      <c r="D6" s="47" t="s">
        <v>62</v>
      </c>
      <c r="E6" s="47" t="s">
        <v>61</v>
      </c>
      <c r="F6" s="47" t="s">
        <v>63</v>
      </c>
      <c r="G6" s="47" t="s">
        <v>2</v>
      </c>
      <c r="H6" s="47" t="s">
        <v>64</v>
      </c>
      <c r="I6" s="47" t="s">
        <v>68</v>
      </c>
      <c r="J6" s="47" t="s">
        <v>65</v>
      </c>
      <c r="K6" s="54" t="s">
        <v>3</v>
      </c>
      <c r="L6" s="54" t="s">
        <v>4</v>
      </c>
      <c r="M6" s="54" t="s">
        <v>66</v>
      </c>
      <c r="N6" s="54" t="s">
        <v>67</v>
      </c>
      <c r="O6" s="54" t="s">
        <v>69</v>
      </c>
      <c r="P6" s="54" t="s">
        <v>70</v>
      </c>
    </row>
    <row r="7" spans="1:16" ht="14.15">
      <c r="B7" s="46" t="s">
        <v>5</v>
      </c>
      <c r="C7" s="47" t="s">
        <v>6</v>
      </c>
      <c r="D7" s="46" t="s">
        <v>7</v>
      </c>
      <c r="E7" s="47" t="s">
        <v>8</v>
      </c>
      <c r="F7" s="47" t="s">
        <v>9</v>
      </c>
      <c r="G7" s="47" t="s">
        <v>10</v>
      </c>
      <c r="H7" s="47" t="s">
        <v>11</v>
      </c>
      <c r="I7" s="47" t="s">
        <v>12</v>
      </c>
      <c r="J7" s="47" t="s">
        <v>13</v>
      </c>
      <c r="K7" s="47" t="s">
        <v>14</v>
      </c>
      <c r="L7" s="47" t="s">
        <v>15</v>
      </c>
      <c r="M7" s="47" t="s">
        <v>16</v>
      </c>
      <c r="N7" s="47" t="s">
        <v>17</v>
      </c>
      <c r="O7" s="47" t="s">
        <v>72</v>
      </c>
      <c r="P7" s="47" t="s">
        <v>73</v>
      </c>
    </row>
    <row r="8" spans="1:16" ht="14.15">
      <c r="A8" s="1">
        <v>1</v>
      </c>
      <c r="B8" s="121" t="s">
        <v>155</v>
      </c>
      <c r="C8" s="122">
        <v>3</v>
      </c>
      <c r="D8" s="122">
        <v>3</v>
      </c>
      <c r="E8" s="122">
        <v>14</v>
      </c>
      <c r="F8" s="122">
        <v>14</v>
      </c>
      <c r="G8" s="122">
        <v>3</v>
      </c>
      <c r="H8" s="122">
        <v>3</v>
      </c>
      <c r="I8" s="122">
        <v>14</v>
      </c>
      <c r="J8" s="122">
        <v>14</v>
      </c>
      <c r="K8" s="122">
        <f>C8+E8+G8+I8</f>
        <v>34</v>
      </c>
      <c r="L8" s="122">
        <f>D8+F8+H8+J8</f>
        <v>34</v>
      </c>
      <c r="M8" s="122">
        <f>C8+E8+G8+I8</f>
        <v>34</v>
      </c>
      <c r="N8" s="122">
        <v>0</v>
      </c>
      <c r="O8" s="122">
        <f>L8</f>
        <v>34</v>
      </c>
      <c r="P8" s="122">
        <v>0</v>
      </c>
    </row>
    <row r="9" spans="1:16" ht="14.15">
      <c r="A9" s="1">
        <v>2</v>
      </c>
      <c r="B9" s="121" t="s">
        <v>156</v>
      </c>
      <c r="C9" s="122">
        <v>2</v>
      </c>
      <c r="D9" s="122">
        <v>2</v>
      </c>
      <c r="E9" s="122">
        <v>0</v>
      </c>
      <c r="F9" s="122">
        <v>0</v>
      </c>
      <c r="G9" s="122">
        <v>19</v>
      </c>
      <c r="H9" s="122">
        <v>21</v>
      </c>
      <c r="I9" s="122">
        <v>5</v>
      </c>
      <c r="J9" s="122">
        <v>4</v>
      </c>
      <c r="K9" s="122">
        <f>C9+E9+G9+I9</f>
        <v>26</v>
      </c>
      <c r="L9" s="122">
        <f>D9+F9+H9+J9</f>
        <v>27</v>
      </c>
      <c r="M9" s="122">
        <f>C9+E9+G9+I9</f>
        <v>26</v>
      </c>
      <c r="N9" s="122">
        <v>0</v>
      </c>
      <c r="O9" s="122">
        <f>L9</f>
        <v>27</v>
      </c>
      <c r="P9" s="122">
        <v>0</v>
      </c>
    </row>
    <row r="10" spans="1:16" s="126" customFormat="1" ht="15.55">
      <c r="A10" s="123">
        <v>9</v>
      </c>
      <c r="B10" s="124" t="s">
        <v>104</v>
      </c>
      <c r="C10" s="125">
        <f>SUM(C8:C9)</f>
        <v>5</v>
      </c>
      <c r="D10" s="125">
        <f t="shared" ref="D10:P10" si="0">SUM(D8:D9)</f>
        <v>5</v>
      </c>
      <c r="E10" s="125">
        <f t="shared" si="0"/>
        <v>14</v>
      </c>
      <c r="F10" s="125">
        <f t="shared" si="0"/>
        <v>14</v>
      </c>
      <c r="G10" s="125">
        <f t="shared" si="0"/>
        <v>22</v>
      </c>
      <c r="H10" s="125">
        <f t="shared" si="0"/>
        <v>24</v>
      </c>
      <c r="I10" s="125">
        <f t="shared" si="0"/>
        <v>19</v>
      </c>
      <c r="J10" s="125">
        <f t="shared" si="0"/>
        <v>18</v>
      </c>
      <c r="K10" s="125">
        <f t="shared" si="0"/>
        <v>60</v>
      </c>
      <c r="L10" s="125">
        <f t="shared" si="0"/>
        <v>61</v>
      </c>
      <c r="M10" s="125">
        <f t="shared" si="0"/>
        <v>60</v>
      </c>
      <c r="N10" s="125">
        <f t="shared" si="0"/>
        <v>0</v>
      </c>
      <c r="O10" s="125">
        <f>SUM(O8:O9)</f>
        <v>61</v>
      </c>
      <c r="P10" s="125">
        <f t="shared" si="0"/>
        <v>0</v>
      </c>
    </row>
    <row r="11" spans="1:16" s="126" customFormat="1" ht="25.45">
      <c r="A11" s="123"/>
      <c r="B11" s="127"/>
      <c r="C11" s="21" t="s">
        <v>157</v>
      </c>
      <c r="D11" s="226" t="s">
        <v>157</v>
      </c>
      <c r="E11" s="21" t="s">
        <v>159</v>
      </c>
      <c r="F11" s="226" t="s">
        <v>159</v>
      </c>
      <c r="G11" s="21" t="s">
        <v>162</v>
      </c>
      <c r="H11" s="226" t="s">
        <v>162</v>
      </c>
      <c r="I11" s="198" t="s">
        <v>244</v>
      </c>
      <c r="J11" s="198" t="s">
        <v>244</v>
      </c>
      <c r="K11" s="128"/>
      <c r="L11" s="128"/>
      <c r="M11" s="128"/>
      <c r="N11" s="128"/>
      <c r="O11" s="128"/>
      <c r="P11" s="128"/>
    </row>
    <row r="12" spans="1:16" s="21" customFormat="1" ht="15.55">
      <c r="A12" s="1"/>
      <c r="B12" s="129"/>
      <c r="C12" s="21" t="s">
        <v>199</v>
      </c>
      <c r="D12" s="226" t="s">
        <v>199</v>
      </c>
      <c r="E12" s="21" t="s">
        <v>160</v>
      </c>
      <c r="F12" s="226" t="s">
        <v>160</v>
      </c>
      <c r="G12" s="21" t="s">
        <v>163</v>
      </c>
      <c r="H12" s="226" t="s">
        <v>163</v>
      </c>
      <c r="I12" s="198" t="s">
        <v>207</v>
      </c>
      <c r="J12" s="198" t="s">
        <v>207</v>
      </c>
    </row>
    <row r="13" spans="1:16" s="21" customFormat="1" ht="15.55">
      <c r="A13" s="1"/>
      <c r="B13" s="129"/>
      <c r="C13" s="21" t="s">
        <v>158</v>
      </c>
      <c r="D13" s="226" t="s">
        <v>158</v>
      </c>
      <c r="E13" s="21" t="s">
        <v>166</v>
      </c>
      <c r="F13" s="226" t="s">
        <v>166</v>
      </c>
      <c r="G13" s="21" t="s">
        <v>164</v>
      </c>
      <c r="H13" s="226" t="s">
        <v>164</v>
      </c>
      <c r="I13" s="198" t="s">
        <v>243</v>
      </c>
      <c r="J13" s="198" t="s">
        <v>243</v>
      </c>
    </row>
    <row r="14" spans="1:16" s="21" customFormat="1" ht="15.55">
      <c r="A14" s="1"/>
      <c r="B14" s="129"/>
      <c r="C14" s="204" t="s">
        <v>239</v>
      </c>
      <c r="D14" s="226" t="s">
        <v>239</v>
      </c>
      <c r="E14" s="21" t="s">
        <v>201</v>
      </c>
      <c r="F14" s="226" t="s">
        <v>201</v>
      </c>
      <c r="G14" s="226" t="s">
        <v>206</v>
      </c>
      <c r="H14" s="226" t="s">
        <v>307</v>
      </c>
      <c r="I14" s="198" t="s">
        <v>208</v>
      </c>
      <c r="J14" s="198" t="s">
        <v>208</v>
      </c>
    </row>
    <row r="15" spans="1:16" s="21" customFormat="1" ht="38.15">
      <c r="A15" s="1"/>
      <c r="B15" s="129"/>
      <c r="C15" s="21" t="s">
        <v>200</v>
      </c>
      <c r="D15" s="226" t="s">
        <v>200</v>
      </c>
      <c r="E15" s="130" t="s">
        <v>202</v>
      </c>
      <c r="F15" s="130" t="s">
        <v>202</v>
      </c>
      <c r="G15" s="130" t="s">
        <v>309</v>
      </c>
      <c r="H15" s="130" t="s">
        <v>308</v>
      </c>
      <c r="I15" s="22" t="s">
        <v>209</v>
      </c>
      <c r="J15" s="22" t="s">
        <v>209</v>
      </c>
    </row>
    <row r="16" spans="1:16" s="21" customFormat="1" ht="15.55">
      <c r="A16" s="1"/>
      <c r="B16" s="129"/>
      <c r="E16" s="21" t="s">
        <v>161</v>
      </c>
      <c r="F16" s="226" t="s">
        <v>161</v>
      </c>
      <c r="I16" s="206" t="s">
        <v>242</v>
      </c>
      <c r="J16" s="206" t="s">
        <v>242</v>
      </c>
    </row>
    <row r="17" spans="2:16" ht="15.55">
      <c r="B17" s="129"/>
      <c r="E17" s="226" t="s">
        <v>311</v>
      </c>
      <c r="F17" s="226" t="s">
        <v>311</v>
      </c>
      <c r="I17" s="198" t="s">
        <v>240</v>
      </c>
      <c r="J17" s="198" t="s">
        <v>240</v>
      </c>
    </row>
    <row r="18" spans="2:16" ht="25.45">
      <c r="B18" s="129"/>
      <c r="E18" s="130" t="s">
        <v>310</v>
      </c>
      <c r="F18" s="130" t="s">
        <v>310</v>
      </c>
      <c r="I18" s="130" t="s">
        <v>241</v>
      </c>
      <c r="J18" s="130" t="s">
        <v>312</v>
      </c>
      <c r="P18" s="226" t="s">
        <v>315</v>
      </c>
    </row>
    <row r="19" spans="2:16" ht="15.55">
      <c r="B19" s="129"/>
      <c r="C19" s="130"/>
      <c r="E19" s="130"/>
      <c r="F19" s="130"/>
    </row>
    <row r="20" spans="2:16" ht="15.55">
      <c r="B20" s="129"/>
      <c r="C20" s="130"/>
    </row>
    <row r="21" spans="2:16" ht="15.55">
      <c r="B21" s="129"/>
    </row>
    <row r="22" spans="2:16" ht="15.55">
      <c r="B22" s="129"/>
    </row>
    <row r="23" spans="2:16" ht="15.55">
      <c r="B23" s="129"/>
    </row>
    <row r="24" spans="2:16" ht="15.55">
      <c r="B24" s="129"/>
    </row>
    <row r="25" spans="2:16" ht="15.55">
      <c r="B25" s="129"/>
    </row>
    <row r="26" spans="2:16" ht="15.55">
      <c r="B26" s="129"/>
    </row>
    <row r="27" spans="2:16" ht="15.55">
      <c r="B27" s="129"/>
    </row>
  </sheetData>
  <mergeCells count="2">
    <mergeCell ref="B2:P2"/>
    <mergeCell ref="L3:P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B1" sqref="B1"/>
    </sheetView>
  </sheetViews>
  <sheetFormatPr defaultColWidth="9.125" defaultRowHeight="12.7"/>
  <cols>
    <col min="1" max="1" width="6.625" style="85" customWidth="1"/>
    <col min="2" max="2" width="51.125" style="1" customWidth="1"/>
    <col min="3" max="3" width="18.875" style="1" customWidth="1"/>
    <col min="4" max="4" width="17.125" style="1" customWidth="1"/>
    <col min="5" max="5" width="19.375" style="181" customWidth="1"/>
    <col min="6" max="6" width="13.875" style="1" customWidth="1"/>
    <col min="7" max="7" width="12.875" style="1" customWidth="1"/>
    <col min="8" max="8" width="13.5" style="1" customWidth="1"/>
    <col min="9" max="9" width="20.625" style="1" customWidth="1"/>
    <col min="10" max="10" width="18" style="1" customWidth="1"/>
    <col min="11" max="16384" width="9.125" style="1"/>
  </cols>
  <sheetData>
    <row r="1" spans="1:7">
      <c r="B1" s="1" t="s">
        <v>338</v>
      </c>
    </row>
    <row r="2" spans="1:7">
      <c r="B2" s="244" t="s">
        <v>325</v>
      </c>
      <c r="C2" s="244"/>
      <c r="D2" s="244"/>
      <c r="E2" s="244"/>
    </row>
    <row r="3" spans="1:7">
      <c r="B3" s="244"/>
      <c r="C3" s="244"/>
      <c r="D3" s="244"/>
      <c r="E3" s="244"/>
    </row>
    <row r="4" spans="1:7" ht="19.600000000000001" customHeight="1">
      <c r="B4" s="43" t="s">
        <v>246</v>
      </c>
    </row>
    <row r="5" spans="1:7">
      <c r="E5" s="181" t="s">
        <v>81</v>
      </c>
    </row>
    <row r="6" spans="1:7" ht="13.45" thickBot="1">
      <c r="B6" s="52" t="s">
        <v>5</v>
      </c>
      <c r="C6" s="52" t="s">
        <v>170</v>
      </c>
      <c r="D6" s="52" t="s">
        <v>7</v>
      </c>
      <c r="E6" s="182" t="s">
        <v>8</v>
      </c>
    </row>
    <row r="7" spans="1:7" ht="48" customHeight="1">
      <c r="A7" s="85">
        <v>1</v>
      </c>
      <c r="B7" s="131" t="s">
        <v>171</v>
      </c>
      <c r="C7" s="132" t="s">
        <v>172</v>
      </c>
      <c r="D7" s="132" t="s">
        <v>173</v>
      </c>
      <c r="E7" s="183" t="s">
        <v>174</v>
      </c>
    </row>
    <row r="8" spans="1:7" ht="31.8">
      <c r="A8" s="85">
        <v>2</v>
      </c>
      <c r="B8" s="48" t="s">
        <v>149</v>
      </c>
      <c r="C8" s="49">
        <v>87623701</v>
      </c>
      <c r="D8" s="133">
        <v>33574000</v>
      </c>
      <c r="E8" s="184" t="s">
        <v>327</v>
      </c>
      <c r="G8" s="134"/>
    </row>
    <row r="9" spans="1:7" ht="31.8">
      <c r="A9" s="85">
        <v>3</v>
      </c>
      <c r="B9" s="48" t="s">
        <v>150</v>
      </c>
      <c r="C9" s="49">
        <v>73092378</v>
      </c>
      <c r="D9" s="133">
        <v>7149000</v>
      </c>
      <c r="E9" s="184" t="s">
        <v>327</v>
      </c>
      <c r="G9" s="134"/>
    </row>
    <row r="10" spans="1:7">
      <c r="A10" s="85">
        <v>4</v>
      </c>
      <c r="B10" s="48" t="s">
        <v>151</v>
      </c>
      <c r="C10" s="49">
        <v>65224151</v>
      </c>
      <c r="D10" s="133">
        <v>0</v>
      </c>
      <c r="E10" s="185"/>
      <c r="G10" s="134"/>
    </row>
    <row r="11" spans="1:7">
      <c r="A11" s="85">
        <v>5</v>
      </c>
      <c r="B11" s="48" t="s">
        <v>196</v>
      </c>
      <c r="C11" s="49">
        <v>7072184</v>
      </c>
      <c r="D11" s="133">
        <v>0</v>
      </c>
      <c r="E11" s="184"/>
      <c r="G11" s="134"/>
    </row>
    <row r="12" spans="1:7">
      <c r="A12" s="85">
        <v>6</v>
      </c>
      <c r="B12" s="48" t="s">
        <v>132</v>
      </c>
      <c r="C12" s="49">
        <v>0</v>
      </c>
      <c r="D12" s="133">
        <v>0</v>
      </c>
      <c r="E12" s="185"/>
      <c r="G12" s="134"/>
    </row>
    <row r="13" spans="1:7">
      <c r="A13" s="85">
        <v>7</v>
      </c>
      <c r="B13" s="48" t="s">
        <v>152</v>
      </c>
      <c r="C13" s="49">
        <v>0</v>
      </c>
      <c r="D13" s="133">
        <v>0</v>
      </c>
      <c r="E13" s="185"/>
      <c r="G13" s="134"/>
    </row>
    <row r="14" spans="1:7">
      <c r="A14" s="85">
        <v>8</v>
      </c>
      <c r="B14" s="48" t="s">
        <v>153</v>
      </c>
      <c r="C14" s="49">
        <v>66364015</v>
      </c>
      <c r="D14" s="136">
        <v>0</v>
      </c>
      <c r="E14" s="186"/>
      <c r="G14" s="134"/>
    </row>
    <row r="15" spans="1:7">
      <c r="A15" s="85">
        <v>9</v>
      </c>
      <c r="B15" s="48" t="s">
        <v>154</v>
      </c>
      <c r="C15" s="49">
        <v>1847922</v>
      </c>
      <c r="D15" s="136">
        <v>0</v>
      </c>
      <c r="E15" s="186"/>
      <c r="G15" s="134"/>
    </row>
    <row r="16" spans="1:7" ht="14.85" thickBot="1">
      <c r="A16" s="85">
        <v>10</v>
      </c>
      <c r="B16" s="137" t="s">
        <v>175</v>
      </c>
      <c r="C16" s="138">
        <f>SUM(C8:C15)</f>
        <v>301224351</v>
      </c>
      <c r="D16" s="138">
        <f>SUM(D8:D15)</f>
        <v>40723000</v>
      </c>
      <c r="E16" s="187"/>
      <c r="G16" s="134"/>
    </row>
    <row r="17" spans="1:7" ht="25.45">
      <c r="A17" s="85">
        <v>11</v>
      </c>
      <c r="B17" s="131" t="s">
        <v>176</v>
      </c>
      <c r="C17" s="140" t="s">
        <v>172</v>
      </c>
      <c r="D17" s="132" t="s">
        <v>173</v>
      </c>
      <c r="E17" s="188" t="s">
        <v>174</v>
      </c>
      <c r="G17" s="134"/>
    </row>
    <row r="18" spans="1:7" ht="14.15">
      <c r="A18" s="85">
        <v>12</v>
      </c>
      <c r="B18" s="141"/>
      <c r="C18" s="10">
        <v>0</v>
      </c>
      <c r="D18" s="10">
        <v>0</v>
      </c>
      <c r="E18" s="185"/>
    </row>
    <row r="19" spans="1:7" ht="14.15">
      <c r="A19" s="85">
        <v>13</v>
      </c>
      <c r="B19" s="141"/>
      <c r="C19" s="10"/>
      <c r="D19" s="10"/>
      <c r="E19" s="185"/>
    </row>
    <row r="20" spans="1:7" ht="14.85" thickBot="1">
      <c r="A20" s="85">
        <v>14</v>
      </c>
      <c r="B20" s="137" t="s">
        <v>177</v>
      </c>
      <c r="C20" s="138">
        <f>SUM(C18:C19)</f>
        <v>0</v>
      </c>
      <c r="D20" s="139">
        <f>SUM(D18:D19)</f>
        <v>0</v>
      </c>
      <c r="E20" s="187"/>
    </row>
    <row r="21" spans="1:7" ht="25.45">
      <c r="A21" s="85">
        <v>15</v>
      </c>
      <c r="B21" s="131" t="s">
        <v>178</v>
      </c>
      <c r="C21" s="140" t="s">
        <v>172</v>
      </c>
      <c r="D21" s="132" t="s">
        <v>173</v>
      </c>
      <c r="E21" s="188" t="s">
        <v>174</v>
      </c>
    </row>
    <row r="22" spans="1:7" ht="14.15">
      <c r="A22" s="85">
        <v>16</v>
      </c>
      <c r="B22" s="141" t="s">
        <v>179</v>
      </c>
      <c r="C22" s="135">
        <f>6325565</f>
        <v>6325565</v>
      </c>
      <c r="D22" s="135">
        <f>C22*0.25</f>
        <v>1581391.25</v>
      </c>
      <c r="E22" s="185"/>
    </row>
    <row r="23" spans="1:7" ht="14.15">
      <c r="A23" s="85">
        <v>17</v>
      </c>
      <c r="B23" s="141"/>
      <c r="C23" s="10"/>
      <c r="D23" s="10"/>
      <c r="E23" s="185"/>
    </row>
    <row r="24" spans="1:7" ht="14.85" thickBot="1">
      <c r="A24" s="85">
        <v>18</v>
      </c>
      <c r="B24" s="137" t="s">
        <v>180</v>
      </c>
      <c r="C24" s="138">
        <f>SUM(C22:C23)</f>
        <v>6325565</v>
      </c>
      <c r="D24" s="138">
        <f>SUM(D22:D23)</f>
        <v>1581391.25</v>
      </c>
      <c r="E24" s="189"/>
    </row>
    <row r="25" spans="1:7" ht="25.45">
      <c r="A25" s="85">
        <v>19</v>
      </c>
      <c r="B25" s="142" t="s">
        <v>181</v>
      </c>
      <c r="C25" s="140" t="s">
        <v>172</v>
      </c>
      <c r="D25" s="132" t="s">
        <v>173</v>
      </c>
      <c r="E25" s="188" t="s">
        <v>174</v>
      </c>
    </row>
    <row r="26" spans="1:7" ht="14.15">
      <c r="A26" s="85">
        <v>20</v>
      </c>
      <c r="B26" s="141" t="s">
        <v>182</v>
      </c>
      <c r="C26" s="135">
        <f>12092752*1.27</f>
        <v>15357795.040000001</v>
      </c>
      <c r="D26" s="135">
        <v>0</v>
      </c>
      <c r="E26" s="190"/>
    </row>
    <row r="27" spans="1:7" ht="14.15">
      <c r="A27" s="85">
        <v>21</v>
      </c>
      <c r="B27" s="141" t="s">
        <v>183</v>
      </c>
      <c r="C27" s="135">
        <f>29140913*1.27</f>
        <v>37008959.509999998</v>
      </c>
      <c r="D27" s="135">
        <v>0</v>
      </c>
      <c r="E27" s="190"/>
    </row>
    <row r="28" spans="1:7" ht="14.85" thickBot="1">
      <c r="A28" s="85">
        <v>22</v>
      </c>
      <c r="B28" s="137" t="s">
        <v>184</v>
      </c>
      <c r="C28" s="138">
        <f>SUM(C26:C27)</f>
        <v>52366754.549999997</v>
      </c>
      <c r="D28" s="138">
        <f>SUM(D26:D27)</f>
        <v>0</v>
      </c>
      <c r="E28" s="189"/>
    </row>
    <row r="29" spans="1:7" ht="25.45">
      <c r="A29" s="85">
        <v>23</v>
      </c>
      <c r="B29" s="131" t="s">
        <v>185</v>
      </c>
      <c r="C29" s="140" t="s">
        <v>172</v>
      </c>
      <c r="D29" s="132" t="s">
        <v>173</v>
      </c>
      <c r="E29" s="188" t="s">
        <v>174</v>
      </c>
    </row>
    <row r="30" spans="1:7" ht="14.15">
      <c r="A30" s="85">
        <v>24</v>
      </c>
      <c r="B30" s="141" t="s">
        <v>186</v>
      </c>
      <c r="C30" s="10"/>
      <c r="D30" s="10"/>
      <c r="E30" s="185"/>
    </row>
    <row r="31" spans="1:7" ht="14.15">
      <c r="A31" s="85">
        <v>25</v>
      </c>
      <c r="B31" s="141" t="s">
        <v>187</v>
      </c>
      <c r="C31" s="10"/>
      <c r="D31" s="10"/>
      <c r="E31" s="185"/>
    </row>
    <row r="32" spans="1:7" ht="14.85" thickBot="1">
      <c r="A32" s="85">
        <v>26</v>
      </c>
      <c r="B32" s="137" t="s">
        <v>188</v>
      </c>
      <c r="C32" s="139">
        <f>SUM(C30:C31)</f>
        <v>0</v>
      </c>
      <c r="D32" s="139">
        <f>SUM(D30:D31)</f>
        <v>0</v>
      </c>
      <c r="E32" s="187"/>
    </row>
    <row r="33" spans="1:5" ht="26.3" customHeight="1">
      <c r="A33" s="85">
        <v>27</v>
      </c>
      <c r="B33" s="143" t="s">
        <v>189</v>
      </c>
      <c r="C33" s="199">
        <f>SUM(C16,C20,C24,C28,C32)</f>
        <v>359916670.55000001</v>
      </c>
      <c r="D33" s="199">
        <f>SUM(D16,D20,D24,D28,D32)</f>
        <v>42304391.25</v>
      </c>
      <c r="E33" s="191"/>
    </row>
    <row r="34" spans="1:5">
      <c r="B34" s="144"/>
      <c r="C34" s="144"/>
      <c r="D34" s="144"/>
      <c r="E34" s="192" t="s">
        <v>315</v>
      </c>
    </row>
    <row r="35" spans="1:5" ht="15.55">
      <c r="B35" s="145"/>
      <c r="C35" s="144"/>
      <c r="D35" s="144"/>
      <c r="E35" s="192"/>
    </row>
    <row r="36" spans="1:5">
      <c r="B36" s="146"/>
    </row>
  </sheetData>
  <mergeCells count="2"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G1" sqref="G1"/>
    </sheetView>
  </sheetViews>
  <sheetFormatPr defaultColWidth="9.125" defaultRowHeight="12.7"/>
  <cols>
    <col min="1" max="1" width="4.875" style="1" customWidth="1"/>
    <col min="2" max="2" width="34.625" style="1" customWidth="1"/>
    <col min="3" max="3" width="9.625" style="1" customWidth="1"/>
    <col min="4" max="14" width="9.125" style="1" customWidth="1"/>
    <col min="15" max="15" width="12.625" style="1" customWidth="1"/>
    <col min="16" max="16384" width="9.125" style="1"/>
  </cols>
  <sheetData>
    <row r="1" spans="1:15">
      <c r="G1" s="1" t="s">
        <v>339</v>
      </c>
    </row>
    <row r="2" spans="1:15">
      <c r="B2" s="244" t="s">
        <v>326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>
      <c r="G3" s="242"/>
      <c r="H3" s="242"/>
      <c r="I3" s="242"/>
      <c r="J3" s="242"/>
      <c r="K3" s="242"/>
      <c r="L3" s="242"/>
      <c r="M3" s="242"/>
      <c r="N3" s="242"/>
      <c r="O3" s="242"/>
    </row>
    <row r="4" spans="1:15" ht="15.55">
      <c r="B4" s="170" t="s">
        <v>247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 t="s">
        <v>81</v>
      </c>
    </row>
    <row r="6" spans="1:15" ht="15.55">
      <c r="B6" s="171" t="s">
        <v>0</v>
      </c>
      <c r="C6" s="172" t="s">
        <v>116</v>
      </c>
      <c r="D6" s="172" t="s">
        <v>117</v>
      </c>
      <c r="E6" s="172" t="s">
        <v>118</v>
      </c>
      <c r="F6" s="172" t="s">
        <v>119</v>
      </c>
      <c r="G6" s="172" t="s">
        <v>120</v>
      </c>
      <c r="H6" s="172" t="s">
        <v>121</v>
      </c>
      <c r="I6" s="172" t="s">
        <v>122</v>
      </c>
      <c r="J6" s="172" t="s">
        <v>123</v>
      </c>
      <c r="K6" s="172" t="s">
        <v>124</v>
      </c>
      <c r="L6" s="172" t="s">
        <v>125</v>
      </c>
      <c r="M6" s="172" t="s">
        <v>126</v>
      </c>
      <c r="N6" s="172" t="s">
        <v>127</v>
      </c>
      <c r="O6" s="173" t="s">
        <v>88</v>
      </c>
    </row>
    <row r="7" spans="1:15" ht="14.15">
      <c r="B7" s="174" t="s">
        <v>5</v>
      </c>
      <c r="C7" s="175" t="s">
        <v>6</v>
      </c>
      <c r="D7" s="175" t="s">
        <v>7</v>
      </c>
      <c r="E7" s="175" t="s">
        <v>8</v>
      </c>
      <c r="F7" s="175" t="s">
        <v>9</v>
      </c>
      <c r="G7" s="175" t="s">
        <v>10</v>
      </c>
      <c r="H7" s="175" t="s">
        <v>11</v>
      </c>
      <c r="I7" s="175" t="s">
        <v>12</v>
      </c>
      <c r="J7" s="175" t="s">
        <v>13</v>
      </c>
      <c r="K7" s="175" t="s">
        <v>14</v>
      </c>
      <c r="L7" s="175" t="s">
        <v>15</v>
      </c>
      <c r="M7" s="175" t="s">
        <v>16</v>
      </c>
      <c r="N7" s="175" t="s">
        <v>17</v>
      </c>
      <c r="O7" s="175" t="s">
        <v>72</v>
      </c>
    </row>
    <row r="8" spans="1:15">
      <c r="A8" s="1">
        <v>1</v>
      </c>
      <c r="B8" s="176" t="s">
        <v>128</v>
      </c>
      <c r="C8" s="177">
        <f>$O$8/12</f>
        <v>97200971</v>
      </c>
      <c r="D8" s="177">
        <f t="shared" ref="D8:N8" si="0">$O$8/12</f>
        <v>97200971</v>
      </c>
      <c r="E8" s="177">
        <f t="shared" si="0"/>
        <v>97200971</v>
      </c>
      <c r="F8" s="177">
        <f t="shared" si="0"/>
        <v>97200971</v>
      </c>
      <c r="G8" s="177">
        <f t="shared" si="0"/>
        <v>97200971</v>
      </c>
      <c r="H8" s="177">
        <f t="shared" si="0"/>
        <v>97200971</v>
      </c>
      <c r="I8" s="177">
        <f t="shared" si="0"/>
        <v>97200971</v>
      </c>
      <c r="J8" s="177">
        <f t="shared" si="0"/>
        <v>97200971</v>
      </c>
      <c r="K8" s="177">
        <f t="shared" si="0"/>
        <v>97200971</v>
      </c>
      <c r="L8" s="177">
        <f t="shared" si="0"/>
        <v>97200971</v>
      </c>
      <c r="M8" s="177">
        <f t="shared" si="0"/>
        <v>97200971</v>
      </c>
      <c r="N8" s="177">
        <f t="shared" si="0"/>
        <v>97200971</v>
      </c>
      <c r="O8" s="178">
        <f>'1 bevétel-kiadás'!D29</f>
        <v>1166411652</v>
      </c>
    </row>
    <row r="9" spans="1:15">
      <c r="A9" s="1">
        <v>2</v>
      </c>
      <c r="B9" s="176" t="s">
        <v>129</v>
      </c>
      <c r="C9" s="177">
        <f>58583/12</f>
        <v>4881.916666666667</v>
      </c>
      <c r="D9" s="177">
        <f t="shared" ref="D9:N9" si="1">58583/12</f>
        <v>4881.916666666667</v>
      </c>
      <c r="E9" s="177">
        <f t="shared" si="1"/>
        <v>4881.916666666667</v>
      </c>
      <c r="F9" s="177">
        <f t="shared" si="1"/>
        <v>4881.916666666667</v>
      </c>
      <c r="G9" s="177">
        <f t="shared" si="1"/>
        <v>4881.916666666667</v>
      </c>
      <c r="H9" s="177">
        <f t="shared" si="1"/>
        <v>4881.916666666667</v>
      </c>
      <c r="I9" s="177">
        <f t="shared" si="1"/>
        <v>4881.916666666667</v>
      </c>
      <c r="J9" s="177">
        <f t="shared" si="1"/>
        <v>4881.916666666667</v>
      </c>
      <c r="K9" s="177">
        <f t="shared" si="1"/>
        <v>4881.916666666667</v>
      </c>
      <c r="L9" s="177">
        <f t="shared" si="1"/>
        <v>4881.916666666667</v>
      </c>
      <c r="M9" s="177">
        <f t="shared" si="1"/>
        <v>4881.916666666667</v>
      </c>
      <c r="N9" s="177">
        <f t="shared" si="1"/>
        <v>4881.916666666667</v>
      </c>
      <c r="O9" s="178">
        <f>'1 bevétel-kiadás'!F29</f>
        <v>80266246</v>
      </c>
    </row>
    <row r="10" spans="1:15" ht="25.45">
      <c r="A10" s="1">
        <v>3</v>
      </c>
      <c r="B10" s="176" t="s">
        <v>130</v>
      </c>
      <c r="C10" s="177">
        <f>$O$10/12</f>
        <v>21879581.083333332</v>
      </c>
      <c r="D10" s="177">
        <f t="shared" ref="D10:N10" si="2">$O$10/12</f>
        <v>21879581.083333332</v>
      </c>
      <c r="E10" s="177">
        <f t="shared" si="2"/>
        <v>21879581.083333332</v>
      </c>
      <c r="F10" s="177">
        <f t="shared" si="2"/>
        <v>21879581.083333332</v>
      </c>
      <c r="G10" s="177">
        <f t="shared" si="2"/>
        <v>21879581.083333332</v>
      </c>
      <c r="H10" s="177">
        <f>$O$10/12</f>
        <v>21879581.083333332</v>
      </c>
      <c r="I10" s="177">
        <f t="shared" si="2"/>
        <v>21879581.083333332</v>
      </c>
      <c r="J10" s="177">
        <f t="shared" si="2"/>
        <v>21879581.083333332</v>
      </c>
      <c r="K10" s="177">
        <f t="shared" si="2"/>
        <v>21879581.083333332</v>
      </c>
      <c r="L10" s="177">
        <f t="shared" si="2"/>
        <v>21879581.083333332</v>
      </c>
      <c r="M10" s="177">
        <f t="shared" si="2"/>
        <v>21879581.083333332</v>
      </c>
      <c r="N10" s="177">
        <f t="shared" si="2"/>
        <v>21879581.083333332</v>
      </c>
      <c r="O10" s="178">
        <f>'1 bevétel-kiadás'!H29</f>
        <v>262554973</v>
      </c>
    </row>
    <row r="11" spans="1:15">
      <c r="A11" s="1">
        <v>4</v>
      </c>
      <c r="B11" s="176" t="s">
        <v>210</v>
      </c>
      <c r="C11" s="177">
        <f>68700/12</f>
        <v>5725</v>
      </c>
      <c r="D11" s="177">
        <f t="shared" ref="D11:N11" si="3">68700/12</f>
        <v>5725</v>
      </c>
      <c r="E11" s="177">
        <f t="shared" si="3"/>
        <v>5725</v>
      </c>
      <c r="F11" s="177">
        <f t="shared" si="3"/>
        <v>5725</v>
      </c>
      <c r="G11" s="177">
        <f t="shared" si="3"/>
        <v>5725</v>
      </c>
      <c r="H11" s="177">
        <f t="shared" si="3"/>
        <v>5725</v>
      </c>
      <c r="I11" s="177">
        <f t="shared" si="3"/>
        <v>5725</v>
      </c>
      <c r="J11" s="177">
        <f t="shared" si="3"/>
        <v>5725</v>
      </c>
      <c r="K11" s="177">
        <f t="shared" si="3"/>
        <v>5725</v>
      </c>
      <c r="L11" s="177">
        <f t="shared" si="3"/>
        <v>5725</v>
      </c>
      <c r="M11" s="177">
        <f t="shared" si="3"/>
        <v>5725</v>
      </c>
      <c r="N11" s="177">
        <f t="shared" si="3"/>
        <v>5725</v>
      </c>
      <c r="O11" s="178">
        <f>'1 bevétel-kiadás'!J29</f>
        <v>129136153</v>
      </c>
    </row>
    <row r="12" spans="1:15">
      <c r="A12" s="1">
        <v>5</v>
      </c>
      <c r="B12" s="179" t="s">
        <v>131</v>
      </c>
      <c r="C12" s="180">
        <f>SUM(C8:C11)</f>
        <v>119091159</v>
      </c>
      <c r="D12" s="180">
        <f t="shared" ref="D12:N12" si="4">SUM(D8:D11)</f>
        <v>119091159</v>
      </c>
      <c r="E12" s="180">
        <f t="shared" si="4"/>
        <v>119091159</v>
      </c>
      <c r="F12" s="180">
        <f t="shared" si="4"/>
        <v>119091159</v>
      </c>
      <c r="G12" s="180">
        <f t="shared" si="4"/>
        <v>119091159</v>
      </c>
      <c r="H12" s="180">
        <f t="shared" si="4"/>
        <v>119091159</v>
      </c>
      <c r="I12" s="180">
        <f t="shared" si="4"/>
        <v>119091159</v>
      </c>
      <c r="J12" s="180">
        <f t="shared" si="4"/>
        <v>119091159</v>
      </c>
      <c r="K12" s="180">
        <f t="shared" si="4"/>
        <v>119091159</v>
      </c>
      <c r="L12" s="180">
        <f t="shared" si="4"/>
        <v>119091159</v>
      </c>
      <c r="M12" s="180">
        <f t="shared" si="4"/>
        <v>119091159</v>
      </c>
      <c r="N12" s="180">
        <f t="shared" si="4"/>
        <v>119091159</v>
      </c>
      <c r="O12" s="180">
        <f>SUM(O8:O11)</f>
        <v>1638369024</v>
      </c>
    </row>
    <row r="13" spans="1:15">
      <c r="O13" s="1" t="s">
        <v>315</v>
      </c>
    </row>
  </sheetData>
  <mergeCells count="2">
    <mergeCell ref="B2:O2"/>
    <mergeCell ref="G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9"/>
  <sheetViews>
    <sheetView tabSelected="1" view="pageBreakPreview" zoomScale="75" zoomScaleNormal="60" zoomScaleSheetLayoutView="75" workbookViewId="0">
      <pane ySplit="7" topLeftCell="A8" activePane="bottomLeft" state="frozen"/>
      <selection pane="bottomLeft" activeCell="B2" sqref="B2"/>
    </sheetView>
  </sheetViews>
  <sheetFormatPr defaultColWidth="9.125" defaultRowHeight="12.7"/>
  <cols>
    <col min="1" max="1" width="4.875" style="85" customWidth="1"/>
    <col min="2" max="2" width="55" style="22" customWidth="1"/>
    <col min="3" max="4" width="19.5" style="28" customWidth="1"/>
    <col min="5" max="6" width="19.375" style="28" customWidth="1"/>
    <col min="7" max="10" width="18.5" style="28" customWidth="1"/>
    <col min="11" max="11" width="21.5" style="28" customWidth="1"/>
    <col min="12" max="12" width="22.375" style="28" customWidth="1"/>
    <col min="13" max="13" width="19.625" style="28" customWidth="1"/>
    <col min="14" max="14" width="18.5" style="28" customWidth="1"/>
    <col min="15" max="15" width="20.5" style="28" customWidth="1"/>
    <col min="16" max="16" width="15.875" style="28" customWidth="1"/>
    <col min="17" max="24" width="9.125" style="3" customWidth="1"/>
    <col min="25" max="16384" width="9.125" style="1"/>
  </cols>
  <sheetData>
    <row r="1" spans="1:16">
      <c r="C1" s="225"/>
      <c r="D1" s="225"/>
      <c r="E1" s="225"/>
      <c r="F1" s="225"/>
      <c r="G1" s="225"/>
      <c r="H1" s="225"/>
      <c r="I1" s="225"/>
      <c r="J1" s="225"/>
      <c r="K1" s="237" t="s">
        <v>329</v>
      </c>
      <c r="L1" s="225"/>
      <c r="M1" s="225"/>
      <c r="N1" s="225"/>
      <c r="O1" s="225"/>
      <c r="P1" s="225"/>
    </row>
    <row r="2" spans="1:16" ht="27.55">
      <c r="B2" s="23" t="s">
        <v>213</v>
      </c>
      <c r="C2" s="241" t="s">
        <v>316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27.55">
      <c r="B3" s="23"/>
    </row>
    <row r="4" spans="1:16" ht="20.5">
      <c r="B4" s="24" t="s">
        <v>190</v>
      </c>
    </row>
    <row r="5" spans="1:16" ht="20.5">
      <c r="B5" s="24"/>
      <c r="O5" s="193" t="s">
        <v>81</v>
      </c>
    </row>
    <row r="6" spans="1:16" ht="59.3">
      <c r="B6" s="5" t="s">
        <v>0</v>
      </c>
      <c r="C6" s="29" t="s">
        <v>1</v>
      </c>
      <c r="D6" s="29" t="s">
        <v>62</v>
      </c>
      <c r="E6" s="29" t="s">
        <v>61</v>
      </c>
      <c r="F6" s="29" t="s">
        <v>63</v>
      </c>
      <c r="G6" s="29" t="s">
        <v>2</v>
      </c>
      <c r="H6" s="29" t="s">
        <v>64</v>
      </c>
      <c r="I6" s="29" t="s">
        <v>68</v>
      </c>
      <c r="J6" s="29" t="s">
        <v>65</v>
      </c>
      <c r="K6" s="30" t="s">
        <v>3</v>
      </c>
      <c r="L6" s="30" t="s">
        <v>4</v>
      </c>
      <c r="M6" s="30" t="s">
        <v>66</v>
      </c>
      <c r="N6" s="30" t="s">
        <v>67</v>
      </c>
      <c r="O6" s="30" t="s">
        <v>69</v>
      </c>
      <c r="P6" s="30" t="s">
        <v>70</v>
      </c>
    </row>
    <row r="7" spans="1:16" ht="14.15">
      <c r="B7" s="208" t="s">
        <v>5</v>
      </c>
      <c r="C7" s="29" t="s">
        <v>6</v>
      </c>
      <c r="D7" s="29" t="s">
        <v>7</v>
      </c>
      <c r="E7" s="29" t="s">
        <v>8</v>
      </c>
      <c r="F7" s="29" t="s">
        <v>9</v>
      </c>
      <c r="G7" s="29" t="s">
        <v>10</v>
      </c>
      <c r="H7" s="29" t="s">
        <v>11</v>
      </c>
      <c r="I7" s="29" t="s">
        <v>12</v>
      </c>
      <c r="J7" s="29" t="s">
        <v>13</v>
      </c>
      <c r="K7" s="29" t="s">
        <v>14</v>
      </c>
      <c r="L7" s="29" t="s">
        <v>15</v>
      </c>
      <c r="M7" s="29" t="s">
        <v>16</v>
      </c>
      <c r="N7" s="29" t="s">
        <v>17</v>
      </c>
      <c r="O7" s="29" t="s">
        <v>72</v>
      </c>
      <c r="P7" s="29" t="s">
        <v>73</v>
      </c>
    </row>
    <row r="8" spans="1:16" ht="84" customHeight="1">
      <c r="A8" s="85">
        <v>1</v>
      </c>
      <c r="B8" s="6" t="s">
        <v>192</v>
      </c>
      <c r="C8" s="31">
        <v>73621737</v>
      </c>
      <c r="D8" s="31">
        <v>77839977</v>
      </c>
      <c r="E8" s="31">
        <v>700000</v>
      </c>
      <c r="F8" s="31">
        <v>863003</v>
      </c>
      <c r="G8" s="31">
        <v>165012822</v>
      </c>
      <c r="H8" s="31">
        <v>194477119</v>
      </c>
      <c r="I8" s="31">
        <v>31066471</v>
      </c>
      <c r="J8" s="31">
        <v>19308833</v>
      </c>
      <c r="K8" s="31">
        <f>C8+E8+G8+I8</f>
        <v>270401030</v>
      </c>
      <c r="L8" s="31">
        <f>D8+F8+H8+J8</f>
        <v>292488932</v>
      </c>
      <c r="M8" s="31">
        <f>C8+E8+G8+I8</f>
        <v>270401030</v>
      </c>
      <c r="N8" s="31">
        <v>0</v>
      </c>
      <c r="O8" s="31">
        <f>D8+F8+H8+J8</f>
        <v>292488932</v>
      </c>
      <c r="P8" s="31">
        <v>0</v>
      </c>
    </row>
    <row r="9" spans="1:16" ht="43.1">
      <c r="A9" s="85">
        <v>2</v>
      </c>
      <c r="B9" s="6" t="s">
        <v>193</v>
      </c>
      <c r="C9" s="31">
        <f t="shared" ref="C9:J9" si="0">SUM(C10:C13)</f>
        <v>251800000</v>
      </c>
      <c r="D9" s="31">
        <f t="shared" ref="D9" si="1">SUM(D10:D13)</f>
        <v>301224351</v>
      </c>
      <c r="E9" s="31">
        <f t="shared" si="0"/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ref="K9:K31" si="2">C9+E9+G9+I9</f>
        <v>251800000</v>
      </c>
      <c r="L9" s="31">
        <f t="shared" ref="L9:L31" si="3">D9+F9+H9+J9</f>
        <v>301224351</v>
      </c>
      <c r="M9" s="31">
        <f t="shared" ref="M9:M31" si="4">C9+E9+G9+I9</f>
        <v>251800000</v>
      </c>
      <c r="N9" s="31">
        <v>0</v>
      </c>
      <c r="O9" s="31">
        <f t="shared" ref="O9:O31" si="5">D9+F9+H9+J9</f>
        <v>301224351</v>
      </c>
      <c r="P9" s="31">
        <v>0</v>
      </c>
    </row>
    <row r="10" spans="1:16" ht="14.85">
      <c r="A10" s="85">
        <v>3</v>
      </c>
      <c r="B10" s="7" t="s">
        <v>18</v>
      </c>
      <c r="C10" s="32">
        <v>242000000</v>
      </c>
      <c r="D10" s="32">
        <f>301224351-D12-D13</f>
        <v>292304245</v>
      </c>
      <c r="E10" s="32"/>
      <c r="F10" s="32"/>
      <c r="G10" s="32"/>
      <c r="H10" s="32"/>
      <c r="I10" s="32"/>
      <c r="J10" s="32"/>
      <c r="K10" s="31">
        <f t="shared" si="2"/>
        <v>242000000</v>
      </c>
      <c r="L10" s="31">
        <f t="shared" si="3"/>
        <v>292304245</v>
      </c>
      <c r="M10" s="31">
        <f t="shared" si="4"/>
        <v>242000000</v>
      </c>
      <c r="N10" s="31">
        <v>0</v>
      </c>
      <c r="O10" s="31">
        <f t="shared" si="5"/>
        <v>292304245</v>
      </c>
      <c r="P10" s="31">
        <v>0</v>
      </c>
    </row>
    <row r="11" spans="1:16" ht="14.85">
      <c r="A11" s="85">
        <v>4</v>
      </c>
      <c r="B11" s="7" t="s">
        <v>19</v>
      </c>
      <c r="C11" s="32"/>
      <c r="D11" s="32"/>
      <c r="E11" s="32"/>
      <c r="F11" s="32"/>
      <c r="G11" s="32"/>
      <c r="H11" s="32"/>
      <c r="I11" s="32"/>
      <c r="J11" s="32"/>
      <c r="K11" s="31">
        <f t="shared" si="2"/>
        <v>0</v>
      </c>
      <c r="L11" s="31">
        <f t="shared" si="3"/>
        <v>0</v>
      </c>
      <c r="M11" s="31">
        <f t="shared" si="4"/>
        <v>0</v>
      </c>
      <c r="N11" s="31">
        <v>0</v>
      </c>
      <c r="O11" s="31">
        <f t="shared" si="5"/>
        <v>0</v>
      </c>
      <c r="P11" s="31">
        <v>0</v>
      </c>
    </row>
    <row r="12" spans="1:16" ht="14.85">
      <c r="A12" s="85">
        <v>5</v>
      </c>
      <c r="B12" s="7" t="s">
        <v>20</v>
      </c>
      <c r="C12" s="32">
        <v>2500000</v>
      </c>
      <c r="D12" s="32">
        <v>1847922</v>
      </c>
      <c r="E12" s="32"/>
      <c r="F12" s="32"/>
      <c r="G12" s="32"/>
      <c r="H12" s="32"/>
      <c r="I12" s="32"/>
      <c r="J12" s="32"/>
      <c r="K12" s="31">
        <f t="shared" si="2"/>
        <v>2500000</v>
      </c>
      <c r="L12" s="31">
        <f t="shared" si="3"/>
        <v>1847922</v>
      </c>
      <c r="M12" s="31">
        <f t="shared" si="4"/>
        <v>2500000</v>
      </c>
      <c r="N12" s="31">
        <v>0</v>
      </c>
      <c r="O12" s="31">
        <f t="shared" si="5"/>
        <v>1847922</v>
      </c>
      <c r="P12" s="31">
        <v>0</v>
      </c>
    </row>
    <row r="13" spans="1:16" ht="14.85">
      <c r="A13" s="85">
        <v>6</v>
      </c>
      <c r="B13" s="7" t="s">
        <v>71</v>
      </c>
      <c r="C13" s="32">
        <v>7300000</v>
      </c>
      <c r="D13" s="32">
        <v>7072184</v>
      </c>
      <c r="E13" s="32"/>
      <c r="F13" s="32"/>
      <c r="G13" s="32"/>
      <c r="H13" s="32"/>
      <c r="I13" s="32"/>
      <c r="J13" s="32"/>
      <c r="K13" s="31">
        <f t="shared" si="2"/>
        <v>7300000</v>
      </c>
      <c r="L13" s="31">
        <f t="shared" si="3"/>
        <v>7072184</v>
      </c>
      <c r="M13" s="31">
        <f t="shared" si="4"/>
        <v>7300000</v>
      </c>
      <c r="N13" s="31">
        <v>0</v>
      </c>
      <c r="O13" s="31">
        <f t="shared" si="5"/>
        <v>7072184</v>
      </c>
      <c r="P13" s="31">
        <v>0</v>
      </c>
    </row>
    <row r="14" spans="1:16" ht="29.65">
      <c r="A14" s="85">
        <v>7</v>
      </c>
      <c r="B14" s="8" t="s">
        <v>21</v>
      </c>
      <c r="C14" s="33">
        <v>0</v>
      </c>
      <c r="D14" s="33">
        <v>0</v>
      </c>
      <c r="E14" s="34">
        <v>70132396</v>
      </c>
      <c r="F14" s="34">
        <v>73244248</v>
      </c>
      <c r="G14" s="34">
        <v>69798016</v>
      </c>
      <c r="H14" s="34">
        <v>46369440</v>
      </c>
      <c r="I14" s="34">
        <v>86373938</v>
      </c>
      <c r="J14" s="34">
        <v>103254077</v>
      </c>
      <c r="K14" s="35">
        <f t="shared" si="2"/>
        <v>226304350</v>
      </c>
      <c r="L14" s="35">
        <f t="shared" si="3"/>
        <v>222867765</v>
      </c>
      <c r="M14" s="35">
        <f t="shared" si="4"/>
        <v>226304350</v>
      </c>
      <c r="N14" s="35">
        <v>0</v>
      </c>
      <c r="O14" s="35">
        <f t="shared" si="5"/>
        <v>222867765</v>
      </c>
      <c r="P14" s="35">
        <v>0</v>
      </c>
    </row>
    <row r="15" spans="1:16" ht="14.85">
      <c r="A15" s="85">
        <v>8</v>
      </c>
      <c r="B15" s="6" t="s">
        <v>22</v>
      </c>
      <c r="C15" s="40">
        <v>206168879</v>
      </c>
      <c r="D15" s="40">
        <v>225714151</v>
      </c>
      <c r="E15" s="31"/>
      <c r="F15" s="31"/>
      <c r="G15" s="31"/>
      <c r="H15" s="31"/>
      <c r="I15" s="31"/>
      <c r="J15" s="31"/>
      <c r="K15" s="31">
        <f t="shared" si="2"/>
        <v>206168879</v>
      </c>
      <c r="L15" s="31">
        <f t="shared" si="3"/>
        <v>225714151</v>
      </c>
      <c r="M15" s="31">
        <f t="shared" si="4"/>
        <v>206168879</v>
      </c>
      <c r="N15" s="31">
        <v>0</v>
      </c>
      <c r="O15" s="31">
        <f t="shared" si="5"/>
        <v>225714151</v>
      </c>
      <c r="P15" s="31">
        <v>0</v>
      </c>
    </row>
    <row r="16" spans="1:16" ht="14.85">
      <c r="A16" s="85">
        <v>9</v>
      </c>
      <c r="B16" s="6" t="s">
        <v>23</v>
      </c>
      <c r="C16" s="31">
        <v>1800000</v>
      </c>
      <c r="D16" s="31">
        <v>12606281</v>
      </c>
      <c r="E16" s="31"/>
      <c r="F16" s="31">
        <v>3572115</v>
      </c>
      <c r="G16" s="31"/>
      <c r="H16" s="31">
        <v>1066745</v>
      </c>
      <c r="I16" s="31"/>
      <c r="J16" s="31"/>
      <c r="K16" s="31">
        <f t="shared" si="2"/>
        <v>1800000</v>
      </c>
      <c r="L16" s="31">
        <f t="shared" si="3"/>
        <v>17245141</v>
      </c>
      <c r="M16" s="31">
        <f t="shared" si="4"/>
        <v>1800000</v>
      </c>
      <c r="N16" s="31">
        <v>0</v>
      </c>
      <c r="O16" s="31">
        <f t="shared" si="5"/>
        <v>17245141</v>
      </c>
      <c r="P16" s="31">
        <v>0</v>
      </c>
    </row>
    <row r="17" spans="1:24" ht="24.7" customHeight="1">
      <c r="A17" s="85">
        <v>10</v>
      </c>
      <c r="B17" s="6" t="s">
        <v>24</v>
      </c>
      <c r="C17" s="31"/>
      <c r="D17" s="31">
        <v>2646187</v>
      </c>
      <c r="E17" s="31"/>
      <c r="F17" s="31"/>
      <c r="G17" s="31"/>
      <c r="H17" s="31"/>
      <c r="I17" s="31"/>
      <c r="J17" s="31"/>
      <c r="K17" s="31">
        <f t="shared" si="2"/>
        <v>0</v>
      </c>
      <c r="L17" s="31">
        <f t="shared" si="3"/>
        <v>2646187</v>
      </c>
      <c r="M17" s="31">
        <f t="shared" si="4"/>
        <v>0</v>
      </c>
      <c r="N17" s="31">
        <v>0</v>
      </c>
      <c r="O17" s="31">
        <f t="shared" si="5"/>
        <v>2646187</v>
      </c>
      <c r="P17" s="31">
        <v>0</v>
      </c>
    </row>
    <row r="18" spans="1:24" ht="29.65">
      <c r="A18" s="85">
        <v>11</v>
      </c>
      <c r="B18" s="6" t="s">
        <v>25</v>
      </c>
      <c r="C18" s="31"/>
      <c r="D18" s="31"/>
      <c r="E18" s="31"/>
      <c r="F18" s="31"/>
      <c r="G18" s="31"/>
      <c r="H18" s="31"/>
      <c r="I18" s="31"/>
      <c r="J18" s="31"/>
      <c r="K18" s="31">
        <f t="shared" si="2"/>
        <v>0</v>
      </c>
      <c r="L18" s="31">
        <f t="shared" si="3"/>
        <v>0</v>
      </c>
      <c r="M18" s="31">
        <f t="shared" si="4"/>
        <v>0</v>
      </c>
      <c r="N18" s="31">
        <v>0</v>
      </c>
      <c r="O18" s="31">
        <f t="shared" si="5"/>
        <v>0</v>
      </c>
      <c r="P18" s="31">
        <v>0</v>
      </c>
    </row>
    <row r="19" spans="1:24" ht="14.85">
      <c r="A19" s="85">
        <v>12</v>
      </c>
      <c r="B19" s="8" t="s">
        <v>26</v>
      </c>
      <c r="C19" s="35">
        <f>C8+C9+C15+C16+C17+C18</f>
        <v>533390616</v>
      </c>
      <c r="D19" s="35">
        <f>D8+D9+D15+D16+D17+D18</f>
        <v>620030947</v>
      </c>
      <c r="E19" s="35">
        <f t="shared" ref="E19:J19" si="6">E8+E9+E15+E16+E17+E18+E14</f>
        <v>70832396</v>
      </c>
      <c r="F19" s="35">
        <f t="shared" si="6"/>
        <v>77679366</v>
      </c>
      <c r="G19" s="35">
        <f>G8+G9+G15+G16+G17+G18+G14</f>
        <v>234810838</v>
      </c>
      <c r="H19" s="35">
        <f t="shared" si="6"/>
        <v>241913304</v>
      </c>
      <c r="I19" s="35">
        <f t="shared" si="6"/>
        <v>117440409</v>
      </c>
      <c r="J19" s="35">
        <f t="shared" si="6"/>
        <v>122562910</v>
      </c>
      <c r="K19" s="35">
        <f t="shared" si="2"/>
        <v>956474259</v>
      </c>
      <c r="L19" s="35">
        <f t="shared" si="3"/>
        <v>1062186527</v>
      </c>
      <c r="M19" s="35">
        <f t="shared" si="4"/>
        <v>956474259</v>
      </c>
      <c r="N19" s="35">
        <v>0</v>
      </c>
      <c r="O19" s="35">
        <f t="shared" si="5"/>
        <v>1062186527</v>
      </c>
      <c r="P19" s="35">
        <v>0</v>
      </c>
    </row>
    <row r="20" spans="1:24" ht="29.65">
      <c r="A20" s="85">
        <v>13</v>
      </c>
      <c r="B20" s="6" t="s">
        <v>27</v>
      </c>
      <c r="C20" s="33">
        <v>28836000</v>
      </c>
      <c r="D20" s="33">
        <v>9746597</v>
      </c>
      <c r="E20" s="33"/>
      <c r="F20" s="33"/>
      <c r="G20" s="33"/>
      <c r="H20" s="33"/>
      <c r="I20" s="33"/>
      <c r="J20" s="33"/>
      <c r="K20" s="31">
        <f t="shared" si="2"/>
        <v>28836000</v>
      </c>
      <c r="L20" s="31">
        <f t="shared" si="3"/>
        <v>9746597</v>
      </c>
      <c r="M20" s="31">
        <f t="shared" si="4"/>
        <v>28836000</v>
      </c>
      <c r="N20" s="31">
        <v>0</v>
      </c>
      <c r="O20" s="31">
        <f t="shared" si="5"/>
        <v>9746597</v>
      </c>
      <c r="P20" s="31">
        <v>0</v>
      </c>
    </row>
    <row r="21" spans="1:24" ht="34.6" customHeight="1">
      <c r="A21" s="85">
        <v>14</v>
      </c>
      <c r="B21" s="6" t="s">
        <v>28</v>
      </c>
      <c r="C21" s="33">
        <v>1550000</v>
      </c>
      <c r="D21" s="33">
        <v>4158576</v>
      </c>
      <c r="E21" s="33"/>
      <c r="F21" s="33"/>
      <c r="G21" s="33"/>
      <c r="H21" s="33"/>
      <c r="I21" s="33"/>
      <c r="J21" s="33"/>
      <c r="K21" s="31">
        <f t="shared" si="2"/>
        <v>1550000</v>
      </c>
      <c r="L21" s="31">
        <f t="shared" si="3"/>
        <v>4158576</v>
      </c>
      <c r="M21" s="31">
        <f t="shared" si="4"/>
        <v>1550000</v>
      </c>
      <c r="N21" s="31">
        <v>0</v>
      </c>
      <c r="O21" s="31">
        <f t="shared" si="5"/>
        <v>4158576</v>
      </c>
      <c r="P21" s="31">
        <v>0</v>
      </c>
    </row>
    <row r="22" spans="1:24" ht="44.5">
      <c r="A22" s="85">
        <v>15</v>
      </c>
      <c r="B22" s="6" t="s">
        <v>29</v>
      </c>
      <c r="C22" s="33">
        <v>46496063</v>
      </c>
      <c r="D22" s="33">
        <v>83627913</v>
      </c>
      <c r="E22" s="33"/>
      <c r="F22" s="33"/>
      <c r="G22" s="33"/>
      <c r="H22" s="33"/>
      <c r="I22" s="33"/>
      <c r="J22" s="33"/>
      <c r="K22" s="31">
        <f t="shared" si="2"/>
        <v>46496063</v>
      </c>
      <c r="L22" s="31">
        <f t="shared" si="3"/>
        <v>83627913</v>
      </c>
      <c r="M22" s="31">
        <f t="shared" si="4"/>
        <v>46496063</v>
      </c>
      <c r="N22" s="31">
        <v>0</v>
      </c>
      <c r="O22" s="31">
        <f t="shared" si="5"/>
        <v>83627913</v>
      </c>
      <c r="P22" s="31">
        <v>0</v>
      </c>
    </row>
    <row r="23" spans="1:24" ht="29.65">
      <c r="A23" s="85">
        <v>16</v>
      </c>
      <c r="B23" s="6" t="s">
        <v>30</v>
      </c>
      <c r="C23" s="31">
        <v>0</v>
      </c>
      <c r="D23" s="31">
        <v>0</v>
      </c>
      <c r="E23" s="31"/>
      <c r="F23" s="31"/>
      <c r="G23" s="31"/>
      <c r="H23" s="31"/>
      <c r="I23" s="31"/>
      <c r="J23" s="31"/>
      <c r="K23" s="31">
        <f t="shared" si="2"/>
        <v>0</v>
      </c>
      <c r="L23" s="31">
        <f t="shared" si="3"/>
        <v>0</v>
      </c>
      <c r="M23" s="31">
        <f t="shared" si="4"/>
        <v>0</v>
      </c>
      <c r="N23" s="31">
        <v>0</v>
      </c>
      <c r="O23" s="31">
        <f t="shared" si="5"/>
        <v>0</v>
      </c>
      <c r="P23" s="31">
        <v>0</v>
      </c>
    </row>
    <row r="24" spans="1:24" ht="29.65">
      <c r="A24" s="85">
        <v>17</v>
      </c>
      <c r="B24" s="6" t="s">
        <v>31</v>
      </c>
      <c r="C24" s="31">
        <v>0</v>
      </c>
      <c r="D24" s="31">
        <v>0</v>
      </c>
      <c r="E24" s="31"/>
      <c r="F24" s="31"/>
      <c r="G24" s="31"/>
      <c r="H24" s="31"/>
      <c r="I24" s="31"/>
      <c r="J24" s="31"/>
      <c r="K24" s="31">
        <f t="shared" si="2"/>
        <v>0</v>
      </c>
      <c r="L24" s="31">
        <f t="shared" si="3"/>
        <v>0</v>
      </c>
      <c r="M24" s="31">
        <f t="shared" si="4"/>
        <v>0</v>
      </c>
      <c r="N24" s="31">
        <v>0</v>
      </c>
      <c r="O24" s="31">
        <f t="shared" si="5"/>
        <v>0</v>
      </c>
      <c r="P24" s="31">
        <v>0</v>
      </c>
    </row>
    <row r="25" spans="1:24" ht="14.85">
      <c r="A25" s="85">
        <v>18</v>
      </c>
      <c r="B25" s="8" t="s">
        <v>32</v>
      </c>
      <c r="C25" s="35">
        <f>SUM(C20:C24)</f>
        <v>76882063</v>
      </c>
      <c r="D25" s="35">
        <f t="shared" ref="D25:I25" si="7">SUM(D20:D24)</f>
        <v>97533086</v>
      </c>
      <c r="E25" s="35">
        <f t="shared" si="7"/>
        <v>0</v>
      </c>
      <c r="F25" s="35">
        <f t="shared" si="7"/>
        <v>0</v>
      </c>
      <c r="G25" s="35">
        <f t="shared" si="7"/>
        <v>0</v>
      </c>
      <c r="H25" s="35">
        <f t="shared" si="7"/>
        <v>0</v>
      </c>
      <c r="I25" s="35">
        <f t="shared" si="7"/>
        <v>0</v>
      </c>
      <c r="J25" s="35">
        <f>SUM(J20:J24)</f>
        <v>0</v>
      </c>
      <c r="K25" s="35">
        <f t="shared" si="2"/>
        <v>76882063</v>
      </c>
      <c r="L25" s="35">
        <f t="shared" si="3"/>
        <v>97533086</v>
      </c>
      <c r="M25" s="35">
        <f t="shared" si="4"/>
        <v>76882063</v>
      </c>
      <c r="N25" s="35">
        <v>0</v>
      </c>
      <c r="O25" s="35">
        <f t="shared" si="5"/>
        <v>97533086</v>
      </c>
      <c r="P25" s="35">
        <v>0</v>
      </c>
    </row>
    <row r="26" spans="1:24" ht="14.85">
      <c r="A26" s="85">
        <v>19</v>
      </c>
      <c r="B26" s="6" t="s">
        <v>33</v>
      </c>
      <c r="C26" s="31">
        <f>C25+C19-E14-G14-I14</f>
        <v>383968329</v>
      </c>
      <c r="D26" s="31">
        <f>D25+D19-F14-H14-J14</f>
        <v>494696268</v>
      </c>
      <c r="E26" s="31">
        <f t="shared" ref="E26:J26" si="8">E25+E19</f>
        <v>70832396</v>
      </c>
      <c r="F26" s="31">
        <f t="shared" si="8"/>
        <v>77679366</v>
      </c>
      <c r="G26" s="31">
        <f t="shared" si="8"/>
        <v>234810838</v>
      </c>
      <c r="H26" s="31">
        <f t="shared" si="8"/>
        <v>241913304</v>
      </c>
      <c r="I26" s="31">
        <f t="shared" si="8"/>
        <v>117440409</v>
      </c>
      <c r="J26" s="31">
        <f t="shared" si="8"/>
        <v>122562910</v>
      </c>
      <c r="K26" s="31">
        <f t="shared" si="2"/>
        <v>807051972</v>
      </c>
      <c r="L26" s="31">
        <f t="shared" si="3"/>
        <v>936851848</v>
      </c>
      <c r="M26" s="31">
        <f t="shared" si="4"/>
        <v>807051972</v>
      </c>
      <c r="N26" s="31">
        <v>0</v>
      </c>
      <c r="O26" s="31">
        <f t="shared" si="5"/>
        <v>936851848</v>
      </c>
      <c r="P26" s="31">
        <v>0</v>
      </c>
    </row>
    <row r="27" spans="1:24" ht="44.5">
      <c r="A27" s="85">
        <v>20</v>
      </c>
      <c r="B27" s="9" t="s">
        <v>34</v>
      </c>
      <c r="C27" s="36">
        <v>618559000</v>
      </c>
      <c r="D27" s="36">
        <v>605784935</v>
      </c>
      <c r="E27" s="36">
        <v>1680000</v>
      </c>
      <c r="F27" s="36">
        <v>2586880</v>
      </c>
      <c r="G27" s="36">
        <v>20174000</v>
      </c>
      <c r="H27" s="36">
        <v>20641669</v>
      </c>
      <c r="I27" s="36">
        <v>5070000</v>
      </c>
      <c r="J27" s="36">
        <v>6573243</v>
      </c>
      <c r="K27" s="31">
        <f t="shared" si="2"/>
        <v>645483000</v>
      </c>
      <c r="L27" s="31">
        <f t="shared" si="3"/>
        <v>635586727</v>
      </c>
      <c r="M27" s="31">
        <f t="shared" si="4"/>
        <v>645483000</v>
      </c>
      <c r="N27" s="31">
        <v>0</v>
      </c>
      <c r="O27" s="31">
        <f t="shared" si="5"/>
        <v>635586727</v>
      </c>
      <c r="P27" s="31">
        <v>0</v>
      </c>
    </row>
    <row r="28" spans="1:24" ht="42" customHeight="1">
      <c r="A28" s="85">
        <v>21</v>
      </c>
      <c r="B28" s="9" t="s">
        <v>272</v>
      </c>
      <c r="C28" s="36">
        <v>86804000</v>
      </c>
      <c r="D28" s="36">
        <f>56843795+9086654</f>
        <v>65930449</v>
      </c>
      <c r="E28" s="31"/>
      <c r="F28" s="31"/>
      <c r="G28" s="36"/>
      <c r="H28" s="36"/>
      <c r="I28" s="36"/>
      <c r="J28" s="36"/>
      <c r="K28" s="31">
        <f t="shared" si="2"/>
        <v>86804000</v>
      </c>
      <c r="L28" s="31">
        <f t="shared" si="3"/>
        <v>65930449</v>
      </c>
      <c r="M28" s="31">
        <f t="shared" si="4"/>
        <v>86804000</v>
      </c>
      <c r="N28" s="31">
        <v>0</v>
      </c>
      <c r="O28" s="31">
        <f t="shared" si="5"/>
        <v>65930449</v>
      </c>
      <c r="P28" s="31">
        <v>0</v>
      </c>
    </row>
    <row r="29" spans="1:24" ht="14.85">
      <c r="A29" s="85">
        <v>22</v>
      </c>
      <c r="B29" s="25" t="s">
        <v>36</v>
      </c>
      <c r="C29" s="37">
        <f t="shared" ref="C29:I29" si="9">SUM(C26:C28)</f>
        <v>1089331329</v>
      </c>
      <c r="D29" s="37">
        <f t="shared" si="9"/>
        <v>1166411652</v>
      </c>
      <c r="E29" s="37">
        <f t="shared" si="9"/>
        <v>72512396</v>
      </c>
      <c r="F29" s="37">
        <f t="shared" si="9"/>
        <v>80266246</v>
      </c>
      <c r="G29" s="37">
        <f t="shared" si="9"/>
        <v>254984838</v>
      </c>
      <c r="H29" s="37">
        <f t="shared" si="9"/>
        <v>262554973</v>
      </c>
      <c r="I29" s="37">
        <f t="shared" si="9"/>
        <v>122510409</v>
      </c>
      <c r="J29" s="37">
        <f>SUM(J26:J28)</f>
        <v>129136153</v>
      </c>
      <c r="K29" s="38">
        <f t="shared" si="2"/>
        <v>1539338972</v>
      </c>
      <c r="L29" s="38">
        <f>D29+F29+H29+J29</f>
        <v>1638369024</v>
      </c>
      <c r="M29" s="40">
        <f t="shared" si="4"/>
        <v>1539338972</v>
      </c>
      <c r="N29" s="40">
        <v>0</v>
      </c>
      <c r="O29" s="41">
        <f t="shared" si="5"/>
        <v>1638369024</v>
      </c>
      <c r="P29" s="41">
        <v>0</v>
      </c>
    </row>
    <row r="30" spans="1:24" ht="14.85">
      <c r="A30" s="85">
        <v>23</v>
      </c>
      <c r="B30" s="9"/>
      <c r="C30" s="36"/>
      <c r="D30" s="36"/>
      <c r="E30" s="36"/>
      <c r="F30" s="36"/>
      <c r="G30" s="36"/>
      <c r="H30" s="36"/>
      <c r="I30" s="36"/>
      <c r="J30" s="36"/>
      <c r="K30" s="31">
        <f t="shared" si="2"/>
        <v>0</v>
      </c>
      <c r="L30" s="31">
        <f t="shared" si="3"/>
        <v>0</v>
      </c>
      <c r="M30" s="31">
        <f t="shared" si="4"/>
        <v>0</v>
      </c>
      <c r="N30" s="31">
        <v>0</v>
      </c>
      <c r="O30" s="31">
        <f t="shared" si="5"/>
        <v>0</v>
      </c>
      <c r="P30" s="31">
        <v>0</v>
      </c>
    </row>
    <row r="31" spans="1:24" s="12" customFormat="1" ht="28.25">
      <c r="A31" s="85">
        <v>24</v>
      </c>
      <c r="B31" s="7" t="s">
        <v>37</v>
      </c>
      <c r="C31" s="32">
        <f t="shared" ref="C31:J31" si="10">C29-C61</f>
        <v>0</v>
      </c>
      <c r="D31" s="32">
        <f t="shared" si="10"/>
        <v>0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0</v>
      </c>
      <c r="J31" s="32">
        <f t="shared" si="10"/>
        <v>0</v>
      </c>
      <c r="K31" s="31">
        <f t="shared" si="2"/>
        <v>0</v>
      </c>
      <c r="L31" s="31">
        <f t="shared" si="3"/>
        <v>0</v>
      </c>
      <c r="M31" s="31">
        <f t="shared" si="4"/>
        <v>0</v>
      </c>
      <c r="N31" s="31">
        <v>0</v>
      </c>
      <c r="O31" s="31">
        <f t="shared" si="5"/>
        <v>0</v>
      </c>
      <c r="P31" s="31">
        <v>0</v>
      </c>
      <c r="Q31" s="11"/>
      <c r="R31" s="11"/>
      <c r="S31" s="11"/>
      <c r="T31" s="11"/>
      <c r="U31" s="11"/>
      <c r="V31" s="11"/>
      <c r="W31" s="11"/>
      <c r="X31" s="11"/>
    </row>
    <row r="32" spans="1:24" s="12" customFormat="1" ht="20.5">
      <c r="A32" s="85"/>
      <c r="B32" s="2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1"/>
      <c r="R32" s="11"/>
      <c r="S32" s="11"/>
      <c r="T32" s="11"/>
      <c r="U32" s="11"/>
      <c r="V32" s="11"/>
      <c r="W32" s="11"/>
      <c r="X32" s="11"/>
    </row>
    <row r="33" spans="1:24" s="12" customFormat="1" ht="20.5">
      <c r="A33" s="85"/>
      <c r="B33" s="24" t="s">
        <v>191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20.5">
      <c r="A34" s="85"/>
      <c r="B34" s="2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59.3">
      <c r="A35" s="85"/>
      <c r="B35" s="5" t="s">
        <v>0</v>
      </c>
      <c r="C35" s="29" t="s">
        <v>1</v>
      </c>
      <c r="D35" s="29" t="s">
        <v>62</v>
      </c>
      <c r="E35" s="29" t="s">
        <v>61</v>
      </c>
      <c r="F35" s="29" t="s">
        <v>63</v>
      </c>
      <c r="G35" s="29" t="s">
        <v>2</v>
      </c>
      <c r="H35" s="29" t="s">
        <v>64</v>
      </c>
      <c r="I35" s="29" t="s">
        <v>68</v>
      </c>
      <c r="J35" s="29" t="s">
        <v>65</v>
      </c>
      <c r="K35" s="30" t="s">
        <v>3</v>
      </c>
      <c r="L35" s="30" t="s">
        <v>4</v>
      </c>
      <c r="M35" s="30" t="s">
        <v>66</v>
      </c>
      <c r="N35" s="30" t="s">
        <v>67</v>
      </c>
      <c r="O35" s="30" t="s">
        <v>69</v>
      </c>
      <c r="P35" s="30" t="s">
        <v>70</v>
      </c>
      <c r="Q35" s="11"/>
      <c r="R35" s="11"/>
      <c r="S35" s="11"/>
      <c r="T35" s="11"/>
      <c r="U35" s="11"/>
      <c r="V35" s="11"/>
      <c r="W35" s="11"/>
      <c r="X35" s="11"/>
    </row>
    <row r="36" spans="1:24" s="12" customFormat="1" ht="14.15">
      <c r="A36" s="85"/>
      <c r="B36" s="208" t="s">
        <v>5</v>
      </c>
      <c r="C36" s="29" t="s">
        <v>6</v>
      </c>
      <c r="D36" s="29" t="s">
        <v>7</v>
      </c>
      <c r="E36" s="29" t="s">
        <v>8</v>
      </c>
      <c r="F36" s="29" t="s">
        <v>9</v>
      </c>
      <c r="G36" s="29" t="s">
        <v>10</v>
      </c>
      <c r="H36" s="29" t="s">
        <v>11</v>
      </c>
      <c r="I36" s="29" t="s">
        <v>12</v>
      </c>
      <c r="J36" s="29" t="s">
        <v>13</v>
      </c>
      <c r="K36" s="29" t="s">
        <v>14</v>
      </c>
      <c r="L36" s="29" t="s">
        <v>15</v>
      </c>
      <c r="M36" s="29" t="s">
        <v>16</v>
      </c>
      <c r="N36" s="29" t="s">
        <v>17</v>
      </c>
      <c r="O36" s="29" t="s">
        <v>72</v>
      </c>
      <c r="P36" s="29" t="s">
        <v>73</v>
      </c>
      <c r="Q36" s="11"/>
      <c r="R36" s="11"/>
      <c r="S36" s="11"/>
      <c r="T36" s="11"/>
      <c r="U36" s="11"/>
      <c r="V36" s="11"/>
      <c r="W36" s="11"/>
      <c r="X36" s="11"/>
    </row>
    <row r="37" spans="1:24" s="12" customFormat="1" ht="14.85">
      <c r="A37" s="85">
        <v>1</v>
      </c>
      <c r="B37" s="13" t="s">
        <v>38</v>
      </c>
      <c r="C37" s="31">
        <v>40604800</v>
      </c>
      <c r="D37" s="31">
        <v>48973818</v>
      </c>
      <c r="E37" s="31">
        <v>58961210</v>
      </c>
      <c r="F37" s="31">
        <v>64427428</v>
      </c>
      <c r="G37" s="31">
        <v>70043920</v>
      </c>
      <c r="H37" s="31">
        <v>79300936</v>
      </c>
      <c r="I37" s="31">
        <v>73413758</v>
      </c>
      <c r="J37" s="31">
        <v>72333722</v>
      </c>
      <c r="K37" s="31">
        <f>C37+E37+G37+I37</f>
        <v>243023688</v>
      </c>
      <c r="L37" s="31">
        <f>D37+F37+H37+J37</f>
        <v>265035904</v>
      </c>
      <c r="M37" s="31">
        <f>C37+E37+G37+I37</f>
        <v>243023688</v>
      </c>
      <c r="N37" s="31">
        <v>0</v>
      </c>
      <c r="O37" s="31">
        <f>D37+F37+H37+J37</f>
        <v>265035904</v>
      </c>
      <c r="P37" s="31">
        <v>0</v>
      </c>
      <c r="Q37" s="11"/>
      <c r="R37" s="11"/>
      <c r="S37" s="11"/>
      <c r="T37" s="11"/>
      <c r="U37" s="11"/>
      <c r="V37" s="11"/>
      <c r="W37" s="11"/>
      <c r="X37" s="11"/>
    </row>
    <row r="38" spans="1:24" s="12" customFormat="1" ht="29.65">
      <c r="A38" s="85">
        <v>2</v>
      </c>
      <c r="B38" s="13" t="s">
        <v>39</v>
      </c>
      <c r="C38" s="31">
        <v>9210036</v>
      </c>
      <c r="D38" s="31">
        <v>12787302</v>
      </c>
      <c r="E38" s="31">
        <v>11654186</v>
      </c>
      <c r="F38" s="31">
        <v>12296656</v>
      </c>
      <c r="G38" s="31">
        <v>14462252</v>
      </c>
      <c r="H38" s="31">
        <v>11704495</v>
      </c>
      <c r="I38" s="31">
        <v>14971976</v>
      </c>
      <c r="J38" s="31">
        <v>13594645</v>
      </c>
      <c r="K38" s="31">
        <f>C38+E38+G38+I38</f>
        <v>50298450</v>
      </c>
      <c r="L38" s="31">
        <f t="shared" ref="L38:L60" si="11">D38+F38+H38+J38</f>
        <v>50383098</v>
      </c>
      <c r="M38" s="31">
        <f>C38+E38+G38+I38</f>
        <v>50298450</v>
      </c>
      <c r="N38" s="31">
        <v>0</v>
      </c>
      <c r="O38" s="31">
        <f t="shared" ref="O38:O50" si="12">D38+F38+H38+J38</f>
        <v>50383098</v>
      </c>
      <c r="P38" s="31">
        <v>0</v>
      </c>
      <c r="Q38" s="11"/>
      <c r="R38" s="11"/>
      <c r="S38" s="11"/>
      <c r="T38" s="11"/>
      <c r="U38" s="11"/>
      <c r="V38" s="11"/>
      <c r="W38" s="11"/>
      <c r="X38" s="11"/>
    </row>
    <row r="39" spans="1:24" s="12" customFormat="1" ht="14.85">
      <c r="A39" s="85">
        <v>3</v>
      </c>
      <c r="B39" s="13" t="s">
        <v>40</v>
      </c>
      <c r="C39" s="31">
        <v>84810537</v>
      </c>
      <c r="D39" s="31">
        <v>157664082</v>
      </c>
      <c r="E39" s="31">
        <v>1897000</v>
      </c>
      <c r="F39" s="31">
        <v>3542162</v>
      </c>
      <c r="G39" s="31">
        <v>170478666</v>
      </c>
      <c r="H39" s="31">
        <v>167472064</v>
      </c>
      <c r="I39" s="31">
        <v>34124675</v>
      </c>
      <c r="J39" s="31">
        <v>40095773</v>
      </c>
      <c r="K39" s="31">
        <f>C39+E39+G39+I39</f>
        <v>291310878</v>
      </c>
      <c r="L39" s="31">
        <f t="shared" si="11"/>
        <v>368774081</v>
      </c>
      <c r="M39" s="31">
        <f>C39+E39+G39+I39</f>
        <v>291310878</v>
      </c>
      <c r="N39" s="31"/>
      <c r="O39" s="31">
        <f t="shared" si="12"/>
        <v>368774081</v>
      </c>
      <c r="P39" s="31">
        <v>0</v>
      </c>
      <c r="Q39" s="11"/>
      <c r="R39" s="11"/>
      <c r="S39" s="11"/>
      <c r="T39" s="11"/>
      <c r="U39" s="11"/>
      <c r="V39" s="11"/>
      <c r="W39" s="11"/>
      <c r="X39" s="11"/>
    </row>
    <row r="40" spans="1:24" s="12" customFormat="1" ht="29.65">
      <c r="A40" s="85">
        <v>4</v>
      </c>
      <c r="B40" s="14" t="s">
        <v>41</v>
      </c>
      <c r="C40" s="35">
        <f>E14+G14+I14</f>
        <v>226304350</v>
      </c>
      <c r="D40" s="35">
        <f>F14+H14+J14</f>
        <v>222867765</v>
      </c>
      <c r="E40" s="31"/>
      <c r="F40" s="31"/>
      <c r="G40" s="31"/>
      <c r="H40" s="31"/>
      <c r="I40" s="31"/>
      <c r="J40" s="31"/>
      <c r="K40" s="31">
        <f t="shared" ref="K40:K60" si="13">C40+E40+G40+I40</f>
        <v>226304350</v>
      </c>
      <c r="L40" s="31">
        <f t="shared" si="11"/>
        <v>222867765</v>
      </c>
      <c r="M40" s="31">
        <f>C40+E40+G40+I40</f>
        <v>226304350</v>
      </c>
      <c r="N40" s="31">
        <v>0</v>
      </c>
      <c r="O40" s="31">
        <f t="shared" si="12"/>
        <v>222867765</v>
      </c>
      <c r="P40" s="31">
        <v>0</v>
      </c>
      <c r="Q40" s="11"/>
      <c r="R40" s="11"/>
      <c r="S40" s="11"/>
      <c r="T40" s="11"/>
      <c r="U40" s="11"/>
      <c r="V40" s="11"/>
      <c r="W40" s="11"/>
      <c r="X40" s="11"/>
    </row>
    <row r="41" spans="1:24" s="12" customFormat="1" ht="14.85">
      <c r="A41" s="85">
        <v>5</v>
      </c>
      <c r="B41" s="13" t="s">
        <v>42</v>
      </c>
      <c r="C41" s="31">
        <f>SUM(C42:C46)</f>
        <v>93842476</v>
      </c>
      <c r="D41" s="31">
        <f>SUM(D42:D46)</f>
        <v>90741113</v>
      </c>
      <c r="E41" s="31">
        <f t="shared" ref="E41:J41" si="14">SUM(E42:E46)</f>
        <v>0</v>
      </c>
      <c r="F41" s="31">
        <f t="shared" si="14"/>
        <v>0</v>
      </c>
      <c r="G41" s="31">
        <f t="shared" si="14"/>
        <v>0</v>
      </c>
      <c r="H41" s="31">
        <f t="shared" si="14"/>
        <v>178958</v>
      </c>
      <c r="I41" s="31">
        <f t="shared" si="14"/>
        <v>0</v>
      </c>
      <c r="J41" s="31">
        <f t="shared" si="14"/>
        <v>0</v>
      </c>
      <c r="K41" s="31">
        <f t="shared" ref="K41:P41" si="15">SUM(K42:K46)</f>
        <v>93842476</v>
      </c>
      <c r="L41" s="31">
        <f>SUM(L42:L46)</f>
        <v>90920071</v>
      </c>
      <c r="M41" s="31">
        <f t="shared" si="15"/>
        <v>4350000</v>
      </c>
      <c r="N41" s="31">
        <f t="shared" si="15"/>
        <v>89492476</v>
      </c>
      <c r="O41" s="31">
        <f>O42+O43+O44+O45+O46</f>
        <v>5263545</v>
      </c>
      <c r="P41" s="31">
        <f t="shared" si="15"/>
        <v>85656526</v>
      </c>
      <c r="Q41" s="11"/>
      <c r="R41" s="11"/>
      <c r="S41" s="11"/>
      <c r="T41" s="11"/>
      <c r="U41" s="11"/>
      <c r="V41" s="11"/>
      <c r="W41" s="11"/>
      <c r="X41" s="11"/>
    </row>
    <row r="42" spans="1:24" s="12" customFormat="1" ht="24.7" customHeight="1">
      <c r="A42" s="85">
        <v>6</v>
      </c>
      <c r="B42" s="15" t="s">
        <v>194</v>
      </c>
      <c r="C42" s="36">
        <v>4350000</v>
      </c>
      <c r="D42" s="36">
        <v>4708447</v>
      </c>
      <c r="E42" s="36"/>
      <c r="F42" s="36"/>
      <c r="G42" s="36"/>
      <c r="H42" s="36">
        <v>178958</v>
      </c>
      <c r="I42" s="36"/>
      <c r="J42" s="36"/>
      <c r="K42" s="31">
        <f>C42+E42+G42+I42</f>
        <v>4350000</v>
      </c>
      <c r="L42" s="31">
        <f t="shared" si="11"/>
        <v>4887405</v>
      </c>
      <c r="M42" s="31">
        <f>C42+E42+G42+I42</f>
        <v>4350000</v>
      </c>
      <c r="N42" s="31">
        <v>0</v>
      </c>
      <c r="O42" s="31">
        <f t="shared" si="12"/>
        <v>4887405</v>
      </c>
      <c r="P42" s="31">
        <v>0</v>
      </c>
      <c r="Q42" s="11"/>
      <c r="R42" s="11"/>
      <c r="S42" s="11"/>
      <c r="T42" s="11"/>
      <c r="U42" s="11"/>
      <c r="V42" s="11"/>
      <c r="W42" s="11"/>
      <c r="X42" s="11"/>
    </row>
    <row r="43" spans="1:24" s="12" customFormat="1" ht="28.25">
      <c r="A43" s="85">
        <v>7</v>
      </c>
      <c r="B43" s="15" t="s">
        <v>44</v>
      </c>
      <c r="C43" s="36"/>
      <c r="D43" s="36"/>
      <c r="E43" s="36"/>
      <c r="F43" s="36"/>
      <c r="G43" s="36"/>
      <c r="H43" s="36"/>
      <c r="I43" s="36"/>
      <c r="J43" s="36"/>
      <c r="K43" s="31">
        <f t="shared" si="13"/>
        <v>0</v>
      </c>
      <c r="L43" s="31">
        <f t="shared" si="11"/>
        <v>0</v>
      </c>
      <c r="M43" s="31">
        <f>C43+E43+G43+I43</f>
        <v>0</v>
      </c>
      <c r="N43" s="31">
        <v>0</v>
      </c>
      <c r="O43" s="31">
        <f t="shared" si="12"/>
        <v>0</v>
      </c>
      <c r="P43" s="31">
        <v>0</v>
      </c>
      <c r="Q43" s="11"/>
      <c r="R43" s="11"/>
      <c r="S43" s="11"/>
      <c r="T43" s="11"/>
      <c r="U43" s="11"/>
      <c r="V43" s="11"/>
      <c r="W43" s="11"/>
      <c r="X43" s="11"/>
    </row>
    <row r="44" spans="1:24" s="12" customFormat="1" ht="14.85">
      <c r="A44" s="85">
        <v>8</v>
      </c>
      <c r="B44" s="15" t="s">
        <v>169</v>
      </c>
      <c r="C44" s="36">
        <v>0</v>
      </c>
      <c r="D44" s="36">
        <v>0</v>
      </c>
      <c r="E44" s="36"/>
      <c r="F44" s="36"/>
      <c r="G44" s="36"/>
      <c r="H44" s="36"/>
      <c r="I44" s="36"/>
      <c r="J44" s="36"/>
      <c r="K44" s="31">
        <f>C44+E44+G44+I44</f>
        <v>0</v>
      </c>
      <c r="L44" s="31">
        <f t="shared" si="11"/>
        <v>0</v>
      </c>
      <c r="M44" s="31"/>
      <c r="N44" s="31"/>
      <c r="O44" s="31">
        <f t="shared" si="12"/>
        <v>0</v>
      </c>
      <c r="P44" s="31"/>
      <c r="Q44" s="11"/>
      <c r="R44" s="11"/>
      <c r="S44" s="11"/>
      <c r="T44" s="11"/>
      <c r="U44" s="11"/>
      <c r="V44" s="11"/>
      <c r="W44" s="11"/>
      <c r="X44" s="11"/>
    </row>
    <row r="45" spans="1:24" s="12" customFormat="1" ht="14.85">
      <c r="A45" s="85">
        <v>9</v>
      </c>
      <c r="B45" s="15" t="s">
        <v>168</v>
      </c>
      <c r="C45" s="36">
        <v>0</v>
      </c>
      <c r="D45" s="36">
        <v>376140</v>
      </c>
      <c r="E45" s="36"/>
      <c r="F45" s="36"/>
      <c r="G45" s="36"/>
      <c r="H45" s="36"/>
      <c r="I45" s="36"/>
      <c r="J45" s="36"/>
      <c r="K45" s="31">
        <f t="shared" si="13"/>
        <v>0</v>
      </c>
      <c r="L45" s="31">
        <f t="shared" si="11"/>
        <v>376140</v>
      </c>
      <c r="M45" s="31"/>
      <c r="N45" s="31"/>
      <c r="O45" s="31">
        <f t="shared" si="12"/>
        <v>376140</v>
      </c>
      <c r="P45" s="3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28.25">
      <c r="A46" s="85">
        <v>10</v>
      </c>
      <c r="B46" s="15" t="s">
        <v>45</v>
      </c>
      <c r="C46" s="36">
        <v>89492476</v>
      </c>
      <c r="D46" s="36">
        <v>85656526</v>
      </c>
      <c r="E46" s="36"/>
      <c r="F46" s="36"/>
      <c r="G46" s="36"/>
      <c r="H46" s="36"/>
      <c r="I46" s="36"/>
      <c r="J46" s="36"/>
      <c r="K46" s="31">
        <f t="shared" si="13"/>
        <v>89492476</v>
      </c>
      <c r="L46" s="31">
        <f t="shared" si="11"/>
        <v>85656526</v>
      </c>
      <c r="M46" s="31">
        <v>0</v>
      </c>
      <c r="N46" s="31">
        <f>C46</f>
        <v>89492476</v>
      </c>
      <c r="O46" s="31">
        <f>F46+H46+J46</f>
        <v>0</v>
      </c>
      <c r="P46" s="31">
        <f>D46</f>
        <v>85656526</v>
      </c>
      <c r="Q46" s="11"/>
      <c r="R46" s="11"/>
      <c r="S46" s="11"/>
      <c r="T46" s="11"/>
      <c r="U46" s="11"/>
      <c r="V46" s="11"/>
      <c r="W46" s="11"/>
      <c r="X46" s="11"/>
    </row>
    <row r="47" spans="1:24" s="18" customFormat="1" ht="29.65">
      <c r="A47" s="85">
        <v>11</v>
      </c>
      <c r="B47" s="13" t="s">
        <v>138</v>
      </c>
      <c r="C47" s="30">
        <v>4000000</v>
      </c>
      <c r="D47" s="30">
        <v>2773000</v>
      </c>
      <c r="E47" s="30"/>
      <c r="F47" s="30"/>
      <c r="G47" s="30"/>
      <c r="H47" s="30"/>
      <c r="I47" s="30"/>
      <c r="J47" s="30"/>
      <c r="K47" s="31">
        <f t="shared" si="13"/>
        <v>4000000</v>
      </c>
      <c r="L47" s="31">
        <f t="shared" si="11"/>
        <v>2773000</v>
      </c>
      <c r="M47" s="31">
        <f>C47+E47+G47+I47-N47</f>
        <v>4000000</v>
      </c>
      <c r="N47" s="31">
        <v>0</v>
      </c>
      <c r="O47" s="31">
        <f t="shared" si="12"/>
        <v>2773000</v>
      </c>
      <c r="P47" s="31">
        <v>0</v>
      </c>
      <c r="Q47" s="17"/>
      <c r="R47" s="17"/>
      <c r="S47" s="17"/>
      <c r="T47" s="17"/>
      <c r="U47" s="17"/>
      <c r="V47" s="17"/>
      <c r="W47" s="17"/>
      <c r="X47" s="17"/>
    </row>
    <row r="48" spans="1:24" ht="14.85">
      <c r="A48" s="85">
        <v>12</v>
      </c>
      <c r="B48" s="13" t="s">
        <v>46</v>
      </c>
      <c r="C48" s="31">
        <f>SUM(C49:C50)</f>
        <v>29270934</v>
      </c>
      <c r="D48" s="31">
        <f t="shared" ref="D48:M48" si="16">SUM(D49:D50)</f>
        <v>492774933</v>
      </c>
      <c r="E48" s="31">
        <f t="shared" si="16"/>
        <v>0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29270934</v>
      </c>
      <c r="L48" s="31">
        <f t="shared" si="16"/>
        <v>492774933</v>
      </c>
      <c r="M48" s="31">
        <f t="shared" si="16"/>
        <v>29270934</v>
      </c>
      <c r="N48" s="31">
        <f>SUM(N49:N50)</f>
        <v>0</v>
      </c>
      <c r="O48" s="31">
        <f t="shared" si="12"/>
        <v>492774933</v>
      </c>
      <c r="P48" s="31">
        <v>0</v>
      </c>
    </row>
    <row r="49" spans="1:24" ht="14.85">
      <c r="A49" s="85">
        <v>13</v>
      </c>
      <c r="B49" s="15" t="s">
        <v>47</v>
      </c>
      <c r="C49" s="36">
        <v>28570934</v>
      </c>
      <c r="D49" s="36">
        <v>492774933</v>
      </c>
      <c r="E49" s="36"/>
      <c r="F49" s="36"/>
      <c r="G49" s="36"/>
      <c r="H49" s="36"/>
      <c r="I49" s="36"/>
      <c r="J49" s="36"/>
      <c r="K49" s="31">
        <f t="shared" si="13"/>
        <v>28570934</v>
      </c>
      <c r="L49" s="31">
        <f t="shared" si="11"/>
        <v>492774933</v>
      </c>
      <c r="M49" s="31">
        <f>C49+E49+G49+I49</f>
        <v>28570934</v>
      </c>
      <c r="N49" s="31">
        <v>0</v>
      </c>
      <c r="O49" s="31">
        <f t="shared" si="12"/>
        <v>492774933</v>
      </c>
      <c r="P49" s="31">
        <v>0</v>
      </c>
    </row>
    <row r="50" spans="1:24" ht="14.85">
      <c r="A50" s="85">
        <v>14</v>
      </c>
      <c r="B50" s="15" t="s">
        <v>48</v>
      </c>
      <c r="C50" s="36">
        <v>700000</v>
      </c>
      <c r="D50" s="36">
        <v>0</v>
      </c>
      <c r="E50" s="36"/>
      <c r="F50" s="36"/>
      <c r="G50" s="36"/>
      <c r="H50" s="36"/>
      <c r="I50" s="36"/>
      <c r="J50" s="36"/>
      <c r="K50" s="31">
        <f t="shared" si="13"/>
        <v>700000</v>
      </c>
      <c r="L50" s="31">
        <f t="shared" si="11"/>
        <v>0</v>
      </c>
      <c r="M50" s="31">
        <f>C50+E50+G50+I50</f>
        <v>700000</v>
      </c>
      <c r="N50" s="31">
        <v>0</v>
      </c>
      <c r="O50" s="31">
        <f t="shared" si="12"/>
        <v>0</v>
      </c>
      <c r="P50" s="31">
        <v>0</v>
      </c>
    </row>
    <row r="51" spans="1:24" s="16" customFormat="1" ht="14.85">
      <c r="A51" s="85">
        <v>15</v>
      </c>
      <c r="B51" s="14" t="s">
        <v>49</v>
      </c>
      <c r="C51" s="35">
        <f t="shared" ref="C51:P51" si="17">C48+C41+C40+C39+C38+C37+C47</f>
        <v>488043133</v>
      </c>
      <c r="D51" s="35">
        <f t="shared" si="17"/>
        <v>1028582013</v>
      </c>
      <c r="E51" s="35">
        <f t="shared" si="17"/>
        <v>72512396</v>
      </c>
      <c r="F51" s="35">
        <f t="shared" si="17"/>
        <v>80266246</v>
      </c>
      <c r="G51" s="35">
        <f t="shared" si="17"/>
        <v>254984838</v>
      </c>
      <c r="H51" s="35">
        <f t="shared" si="17"/>
        <v>258656453</v>
      </c>
      <c r="I51" s="35">
        <f t="shared" si="17"/>
        <v>122510409</v>
      </c>
      <c r="J51" s="35">
        <f t="shared" si="17"/>
        <v>126024140</v>
      </c>
      <c r="K51" s="35">
        <f t="shared" si="17"/>
        <v>938050776</v>
      </c>
      <c r="L51" s="35">
        <f t="shared" si="17"/>
        <v>1493528852</v>
      </c>
      <c r="M51" s="35">
        <f t="shared" si="17"/>
        <v>848558300</v>
      </c>
      <c r="N51" s="35">
        <f t="shared" si="17"/>
        <v>89492476</v>
      </c>
      <c r="O51" s="35">
        <f t="shared" si="17"/>
        <v>1407872326</v>
      </c>
      <c r="P51" s="35">
        <f t="shared" si="17"/>
        <v>85656526</v>
      </c>
      <c r="Q51" s="26"/>
      <c r="R51" s="26"/>
      <c r="S51" s="26"/>
      <c r="T51" s="26"/>
      <c r="U51" s="26"/>
      <c r="V51" s="26"/>
      <c r="W51" s="26"/>
      <c r="X51" s="26"/>
    </row>
    <row r="52" spans="1:24" ht="14.85">
      <c r="A52" s="85">
        <v>16</v>
      </c>
      <c r="B52" s="13" t="s">
        <v>139</v>
      </c>
      <c r="C52" s="31">
        <v>820150789</v>
      </c>
      <c r="D52" s="31">
        <v>334021115</v>
      </c>
      <c r="E52" s="31"/>
      <c r="F52" s="31"/>
      <c r="G52" s="31"/>
      <c r="H52" s="31">
        <v>3898520</v>
      </c>
      <c r="I52" s="31"/>
      <c r="J52" s="31">
        <v>3112013</v>
      </c>
      <c r="K52" s="31">
        <f t="shared" si="13"/>
        <v>820150789</v>
      </c>
      <c r="L52" s="31">
        <f t="shared" si="11"/>
        <v>341031648</v>
      </c>
      <c r="M52" s="31">
        <f>K52</f>
        <v>820150789</v>
      </c>
      <c r="N52" s="31"/>
      <c r="O52" s="31">
        <f t="shared" ref="O52:O57" si="18">D52+F52+H52+J52</f>
        <v>341031648</v>
      </c>
      <c r="P52" s="31">
        <v>0</v>
      </c>
    </row>
    <row r="53" spans="1:24" ht="14.85">
      <c r="A53" s="85">
        <v>17</v>
      </c>
      <c r="B53" s="13" t="s">
        <v>51</v>
      </c>
      <c r="C53" s="31"/>
      <c r="D53" s="31">
        <v>17289018</v>
      </c>
      <c r="E53" s="31"/>
      <c r="F53" s="31"/>
      <c r="G53" s="31"/>
      <c r="H53" s="31"/>
      <c r="I53" s="31"/>
      <c r="J53" s="31"/>
      <c r="K53" s="31">
        <f t="shared" si="13"/>
        <v>0</v>
      </c>
      <c r="L53" s="31">
        <f t="shared" si="11"/>
        <v>17289018</v>
      </c>
      <c r="M53" s="31">
        <f>C53</f>
        <v>0</v>
      </c>
      <c r="N53" s="31">
        <v>0</v>
      </c>
      <c r="O53" s="31">
        <f t="shared" si="18"/>
        <v>17289018</v>
      </c>
      <c r="P53" s="31">
        <v>0</v>
      </c>
    </row>
    <row r="54" spans="1:24" ht="14.85">
      <c r="A54" s="85">
        <v>18</v>
      </c>
      <c r="B54" s="13" t="s">
        <v>52</v>
      </c>
      <c r="C54" s="31">
        <f t="shared" ref="C54:N54" si="19">SUM(C55:C57)</f>
        <v>0</v>
      </c>
      <c r="D54" s="31">
        <f t="shared" si="19"/>
        <v>1491528</v>
      </c>
      <c r="E54" s="31">
        <f t="shared" si="19"/>
        <v>0</v>
      </c>
      <c r="F54" s="31">
        <f t="shared" si="19"/>
        <v>0</v>
      </c>
      <c r="G54" s="31">
        <f t="shared" si="19"/>
        <v>0</v>
      </c>
      <c r="H54" s="31">
        <f t="shared" si="19"/>
        <v>0</v>
      </c>
      <c r="I54" s="31">
        <f t="shared" si="19"/>
        <v>0</v>
      </c>
      <c r="J54" s="31">
        <f t="shared" si="19"/>
        <v>0</v>
      </c>
      <c r="K54" s="31">
        <f t="shared" si="19"/>
        <v>0</v>
      </c>
      <c r="L54" s="31">
        <f t="shared" si="19"/>
        <v>1491528</v>
      </c>
      <c r="M54" s="31">
        <f t="shared" si="19"/>
        <v>0</v>
      </c>
      <c r="N54" s="31">
        <f t="shared" si="19"/>
        <v>0</v>
      </c>
      <c r="O54" s="31">
        <f t="shared" si="18"/>
        <v>1491528</v>
      </c>
      <c r="P54" s="31">
        <v>0</v>
      </c>
    </row>
    <row r="55" spans="1:24" ht="14.85">
      <c r="A55" s="85">
        <v>19</v>
      </c>
      <c r="B55" s="19" t="s">
        <v>53</v>
      </c>
      <c r="C55" s="36"/>
      <c r="D55" s="36"/>
      <c r="E55" s="36"/>
      <c r="F55" s="36"/>
      <c r="G55" s="36"/>
      <c r="H55" s="36"/>
      <c r="I55" s="36"/>
      <c r="J55" s="36"/>
      <c r="K55" s="31">
        <f t="shared" si="13"/>
        <v>0</v>
      </c>
      <c r="L55" s="31">
        <f t="shared" si="11"/>
        <v>0</v>
      </c>
      <c r="M55" s="31">
        <f>C55+E55+G55+I55</f>
        <v>0</v>
      </c>
      <c r="N55" s="31">
        <v>0</v>
      </c>
      <c r="O55" s="31">
        <f t="shared" si="18"/>
        <v>0</v>
      </c>
      <c r="P55" s="31">
        <v>0</v>
      </c>
    </row>
    <row r="56" spans="1:24" ht="28.25">
      <c r="A56" s="85">
        <v>20</v>
      </c>
      <c r="B56" s="19" t="s">
        <v>195</v>
      </c>
      <c r="C56" s="36"/>
      <c r="D56" s="36">
        <v>1291528</v>
      </c>
      <c r="E56" s="36"/>
      <c r="F56" s="36"/>
      <c r="G56" s="36"/>
      <c r="H56" s="36"/>
      <c r="I56" s="36"/>
      <c r="J56" s="36"/>
      <c r="K56" s="31">
        <f t="shared" si="13"/>
        <v>0</v>
      </c>
      <c r="L56" s="31">
        <f t="shared" si="11"/>
        <v>1291528</v>
      </c>
      <c r="M56" s="31">
        <f>C56+E56+G56+I56</f>
        <v>0</v>
      </c>
      <c r="N56" s="31">
        <v>0</v>
      </c>
      <c r="O56" s="31">
        <f t="shared" si="18"/>
        <v>1291528</v>
      </c>
      <c r="P56" s="31">
        <v>0</v>
      </c>
    </row>
    <row r="57" spans="1:24" ht="28.25">
      <c r="A57" s="85">
        <v>21</v>
      </c>
      <c r="B57" s="19" t="s">
        <v>55</v>
      </c>
      <c r="C57" s="36"/>
      <c r="D57" s="36">
        <v>200000</v>
      </c>
      <c r="E57" s="36"/>
      <c r="F57" s="36"/>
      <c r="G57" s="36"/>
      <c r="H57" s="36"/>
      <c r="I57" s="36"/>
      <c r="J57" s="36"/>
      <c r="K57" s="31">
        <f t="shared" si="13"/>
        <v>0</v>
      </c>
      <c r="L57" s="31">
        <f t="shared" si="11"/>
        <v>200000</v>
      </c>
      <c r="M57" s="31">
        <f>C57+E57+G57+I57</f>
        <v>0</v>
      </c>
      <c r="N57" s="31">
        <v>0</v>
      </c>
      <c r="O57" s="31">
        <f t="shared" si="18"/>
        <v>200000</v>
      </c>
      <c r="P57" s="31">
        <v>0</v>
      </c>
    </row>
    <row r="58" spans="1:24" s="16" customFormat="1" ht="14.85">
      <c r="A58" s="85">
        <v>22</v>
      </c>
      <c r="B58" s="14" t="s">
        <v>56</v>
      </c>
      <c r="C58" s="35">
        <f>C52+C53+C54</f>
        <v>820150789</v>
      </c>
      <c r="D58" s="35">
        <f>D52+D53+D54</f>
        <v>352801661</v>
      </c>
      <c r="E58" s="35">
        <f t="shared" ref="E58:P58" si="20">E52+E53+E54</f>
        <v>0</v>
      </c>
      <c r="F58" s="35">
        <f t="shared" si="20"/>
        <v>0</v>
      </c>
      <c r="G58" s="35">
        <f t="shared" si="20"/>
        <v>0</v>
      </c>
      <c r="H58" s="35">
        <f t="shared" si="20"/>
        <v>3898520</v>
      </c>
      <c r="I58" s="35">
        <f t="shared" si="20"/>
        <v>0</v>
      </c>
      <c r="J58" s="35">
        <f t="shared" si="20"/>
        <v>3112013</v>
      </c>
      <c r="K58" s="35">
        <f t="shared" si="20"/>
        <v>820150789</v>
      </c>
      <c r="L58" s="35">
        <f t="shared" si="20"/>
        <v>359812194</v>
      </c>
      <c r="M58" s="35">
        <f t="shared" si="20"/>
        <v>820150789</v>
      </c>
      <c r="N58" s="35">
        <f t="shared" si="20"/>
        <v>0</v>
      </c>
      <c r="O58" s="35">
        <f t="shared" si="20"/>
        <v>359812194</v>
      </c>
      <c r="P58" s="35">
        <f t="shared" si="20"/>
        <v>0</v>
      </c>
      <c r="Q58" s="26"/>
      <c r="R58" s="26"/>
      <c r="S58" s="26"/>
      <c r="T58" s="26"/>
      <c r="U58" s="26"/>
      <c r="V58" s="26"/>
      <c r="W58" s="26"/>
      <c r="X58" s="26"/>
    </row>
    <row r="59" spans="1:24" ht="14.85">
      <c r="A59" s="85">
        <v>23</v>
      </c>
      <c r="B59" s="6" t="s">
        <v>57</v>
      </c>
      <c r="C59" s="31">
        <f>C58+C51-C40</f>
        <v>1081889572</v>
      </c>
      <c r="D59" s="31">
        <f>D58+D51-D40</f>
        <v>1158515909</v>
      </c>
      <c r="E59" s="31">
        <f>E58+E51</f>
        <v>72512396</v>
      </c>
      <c r="F59" s="31">
        <f t="shared" ref="F59:P59" si="21">F58+F51</f>
        <v>80266246</v>
      </c>
      <c r="G59" s="31">
        <f t="shared" si="21"/>
        <v>254984838</v>
      </c>
      <c r="H59" s="31">
        <f t="shared" si="21"/>
        <v>262554973</v>
      </c>
      <c r="I59" s="31">
        <f t="shared" si="21"/>
        <v>122510409</v>
      </c>
      <c r="J59" s="31">
        <f t="shared" si="21"/>
        <v>129136153</v>
      </c>
      <c r="K59" s="31">
        <f>K58+K51-K40</f>
        <v>1531897215</v>
      </c>
      <c r="L59" s="31">
        <f>L58+L51-D40</f>
        <v>1630473281</v>
      </c>
      <c r="M59" s="31">
        <f>M58+M51-M40</f>
        <v>1442404739</v>
      </c>
      <c r="N59" s="31">
        <f t="shared" si="21"/>
        <v>89492476</v>
      </c>
      <c r="O59" s="31">
        <f>O58+O51-O40</f>
        <v>1544816755</v>
      </c>
      <c r="P59" s="31">
        <f t="shared" si="21"/>
        <v>85656526</v>
      </c>
    </row>
    <row r="60" spans="1:24" ht="14.85">
      <c r="A60" s="85">
        <v>24</v>
      </c>
      <c r="B60" s="9" t="s">
        <v>58</v>
      </c>
      <c r="C60" s="31">
        <v>7441757</v>
      </c>
      <c r="D60" s="31">
        <v>7895743</v>
      </c>
      <c r="E60" s="31">
        <v>0</v>
      </c>
      <c r="F60" s="31">
        <v>0</v>
      </c>
      <c r="G60" s="31">
        <v>0</v>
      </c>
      <c r="H60" s="31">
        <v>0</v>
      </c>
      <c r="I60" s="31"/>
      <c r="J60" s="31"/>
      <c r="K60" s="31">
        <f t="shared" si="13"/>
        <v>7441757</v>
      </c>
      <c r="L60" s="31">
        <f t="shared" si="11"/>
        <v>7895743</v>
      </c>
      <c r="M60" s="31">
        <f>C60+E60+G60+I60</f>
        <v>7441757</v>
      </c>
      <c r="N60" s="31">
        <v>0</v>
      </c>
      <c r="O60" s="31">
        <f>D60</f>
        <v>7895743</v>
      </c>
      <c r="P60" s="31">
        <v>0</v>
      </c>
    </row>
    <row r="61" spans="1:24" ht="14.85">
      <c r="A61" s="85">
        <v>25</v>
      </c>
      <c r="B61" s="27" t="s">
        <v>59</v>
      </c>
      <c r="C61" s="37">
        <f>SUM(C59:C60)</f>
        <v>1089331329</v>
      </c>
      <c r="D61" s="37">
        <f t="shared" ref="D61:I61" si="22">SUM(D59:D60)</f>
        <v>1166411652</v>
      </c>
      <c r="E61" s="37">
        <f t="shared" si="22"/>
        <v>72512396</v>
      </c>
      <c r="F61" s="37">
        <f t="shared" si="22"/>
        <v>80266246</v>
      </c>
      <c r="G61" s="37">
        <f t="shared" si="22"/>
        <v>254984838</v>
      </c>
      <c r="H61" s="37">
        <f t="shared" si="22"/>
        <v>262554973</v>
      </c>
      <c r="I61" s="37">
        <f t="shared" si="22"/>
        <v>122510409</v>
      </c>
      <c r="J61" s="37">
        <f>SUM(J59:J60)</f>
        <v>129136153</v>
      </c>
      <c r="K61" s="38">
        <f t="shared" ref="K61:P61" si="23">K59+K60</f>
        <v>1539338972</v>
      </c>
      <c r="L61" s="38">
        <f t="shared" si="23"/>
        <v>1638369024</v>
      </c>
      <c r="M61" s="40">
        <f t="shared" si="23"/>
        <v>1449846496</v>
      </c>
      <c r="N61" s="40">
        <f t="shared" si="23"/>
        <v>89492476</v>
      </c>
      <c r="O61" s="41">
        <f t="shared" si="23"/>
        <v>1552712498</v>
      </c>
      <c r="P61" s="41">
        <f t="shared" si="23"/>
        <v>85656526</v>
      </c>
    </row>
    <row r="62" spans="1:24" ht="15.55">
      <c r="B62" s="20"/>
      <c r="I62" s="39"/>
      <c r="J62" s="39"/>
    </row>
    <row r="63" spans="1:24" ht="15.55">
      <c r="B63" s="20"/>
      <c r="I63" s="39"/>
      <c r="J63" s="39"/>
    </row>
    <row r="64" spans="1:24" ht="72.7" customHeight="1">
      <c r="B64" s="20" t="s">
        <v>60</v>
      </c>
      <c r="P64" s="225" t="s">
        <v>315</v>
      </c>
    </row>
    <row r="65" spans="1:24" ht="15.55">
      <c r="B65" s="20"/>
    </row>
    <row r="66" spans="1:24" ht="15.55">
      <c r="B66" s="20"/>
    </row>
    <row r="67" spans="1:24" ht="15.55">
      <c r="B67" s="20"/>
    </row>
    <row r="68" spans="1:24" ht="15.55">
      <c r="B68" s="20"/>
    </row>
    <row r="69" spans="1:24" ht="15.55">
      <c r="B69" s="20"/>
    </row>
    <row r="70" spans="1:24" ht="15.55">
      <c r="B70" s="20"/>
    </row>
    <row r="71" spans="1:24" s="21" customFormat="1" ht="15.55">
      <c r="A71" s="85"/>
      <c r="B71" s="2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4"/>
      <c r="R71" s="4"/>
      <c r="S71" s="4"/>
      <c r="T71" s="4"/>
      <c r="U71" s="4"/>
      <c r="V71" s="4"/>
      <c r="W71" s="4"/>
      <c r="X71" s="4"/>
    </row>
    <row r="72" spans="1:24" s="21" customFormat="1" ht="15.55">
      <c r="A72" s="85"/>
      <c r="B72" s="2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4"/>
      <c r="R72" s="4"/>
      <c r="S72" s="4"/>
      <c r="T72" s="4"/>
      <c r="U72" s="4"/>
      <c r="V72" s="4"/>
      <c r="W72" s="4"/>
      <c r="X72" s="4"/>
    </row>
    <row r="73" spans="1:24" s="21" customFormat="1" ht="15.55">
      <c r="A73" s="85"/>
      <c r="B73" s="20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4"/>
      <c r="R73" s="4"/>
      <c r="S73" s="4"/>
      <c r="T73" s="4"/>
      <c r="U73" s="4"/>
      <c r="V73" s="4"/>
      <c r="W73" s="4"/>
      <c r="X73" s="4"/>
    </row>
    <row r="74" spans="1:24" s="21" customFormat="1" ht="15.55">
      <c r="A74" s="85"/>
      <c r="B74" s="20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"/>
      <c r="R74" s="4"/>
      <c r="S74" s="4"/>
      <c r="T74" s="4"/>
      <c r="U74" s="4"/>
      <c r="V74" s="4"/>
      <c r="W74" s="4"/>
      <c r="X74" s="4"/>
    </row>
    <row r="75" spans="1:24" s="21" customFormat="1" ht="15.55">
      <c r="A75" s="85"/>
      <c r="B75" s="2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4"/>
      <c r="R75" s="4"/>
      <c r="S75" s="4"/>
      <c r="T75" s="4"/>
      <c r="U75" s="4"/>
      <c r="V75" s="4"/>
      <c r="W75" s="4"/>
      <c r="X75" s="4"/>
    </row>
    <row r="76" spans="1:24" s="21" customFormat="1" ht="15.55">
      <c r="A76" s="85"/>
      <c r="B76" s="20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"/>
      <c r="R76" s="4"/>
      <c r="S76" s="4"/>
      <c r="T76" s="4"/>
      <c r="U76" s="4"/>
      <c r="V76" s="4"/>
      <c r="W76" s="4"/>
      <c r="X76" s="4"/>
    </row>
    <row r="77" spans="1:24" s="21" customFormat="1" ht="15.55">
      <c r="A77" s="85"/>
      <c r="B77" s="2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4"/>
      <c r="R77" s="4"/>
      <c r="S77" s="4"/>
      <c r="T77" s="4"/>
      <c r="U77" s="4"/>
      <c r="V77" s="4"/>
      <c r="W77" s="4"/>
      <c r="X77" s="4"/>
    </row>
    <row r="78" spans="1:24" s="21" customFormat="1" ht="15.55">
      <c r="A78" s="85"/>
      <c r="B78" s="20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"/>
      <c r="R78" s="4"/>
      <c r="S78" s="4"/>
      <c r="T78" s="4"/>
      <c r="U78" s="4"/>
      <c r="V78" s="4"/>
      <c r="W78" s="4"/>
      <c r="X78" s="4"/>
    </row>
    <row r="79" spans="1:24" s="21" customFormat="1" ht="15.55">
      <c r="A79" s="85"/>
      <c r="B79" s="2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4"/>
      <c r="R79" s="4"/>
      <c r="S79" s="4"/>
      <c r="T79" s="4"/>
      <c r="U79" s="4"/>
      <c r="V79" s="4"/>
      <c r="W79" s="4"/>
      <c r="X79" s="4"/>
    </row>
    <row r="80" spans="1:24" s="21" customFormat="1" ht="15.55">
      <c r="A80" s="85"/>
      <c r="B80" s="2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4"/>
      <c r="R80" s="4"/>
      <c r="S80" s="4"/>
      <c r="T80" s="4"/>
      <c r="U80" s="4"/>
      <c r="V80" s="4"/>
      <c r="W80" s="4"/>
      <c r="X80" s="4"/>
    </row>
    <row r="81" spans="1:24" s="21" customFormat="1" ht="15.55">
      <c r="A81" s="85"/>
      <c r="B81" s="20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4"/>
      <c r="R81" s="4"/>
      <c r="S81" s="4"/>
      <c r="T81" s="4"/>
      <c r="U81" s="4"/>
      <c r="V81" s="4"/>
      <c r="W81" s="4"/>
      <c r="X81" s="4"/>
    </row>
    <row r="82" spans="1:24" s="21" customFormat="1" ht="15.55">
      <c r="A82" s="85"/>
      <c r="B82" s="2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4"/>
      <c r="R82" s="4"/>
      <c r="S82" s="4"/>
      <c r="T82" s="4"/>
      <c r="U82" s="4"/>
      <c r="V82" s="4"/>
      <c r="W82" s="4"/>
      <c r="X82" s="4"/>
    </row>
    <row r="83" spans="1:24" s="21" customFormat="1" ht="15.55">
      <c r="A83" s="85"/>
      <c r="B83" s="2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4"/>
      <c r="R83" s="4"/>
      <c r="S83" s="4"/>
      <c r="T83" s="4"/>
      <c r="U83" s="4"/>
      <c r="V83" s="4"/>
      <c r="W83" s="4"/>
      <c r="X83" s="4"/>
    </row>
    <row r="84" spans="1:24" s="21" customFormat="1" ht="15.55">
      <c r="A84" s="85"/>
      <c r="B84" s="20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4"/>
      <c r="R84" s="4"/>
      <c r="S84" s="4"/>
      <c r="T84" s="4"/>
      <c r="U84" s="4"/>
      <c r="V84" s="4"/>
      <c r="W84" s="4"/>
      <c r="X84" s="4"/>
    </row>
    <row r="85" spans="1:24" s="21" customFormat="1" ht="15.55">
      <c r="A85" s="85"/>
      <c r="B85" s="20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4"/>
      <c r="R85" s="4"/>
      <c r="S85" s="4"/>
      <c r="T85" s="4"/>
      <c r="U85" s="4"/>
      <c r="V85" s="4"/>
      <c r="W85" s="4"/>
      <c r="X85" s="4"/>
    </row>
    <row r="86" spans="1:24" s="21" customFormat="1" ht="15.55">
      <c r="A86" s="85"/>
      <c r="B86" s="2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4"/>
      <c r="R86" s="4"/>
      <c r="S86" s="4"/>
      <c r="T86" s="4"/>
      <c r="U86" s="4"/>
      <c r="V86" s="4"/>
      <c r="W86" s="4"/>
      <c r="X86" s="4"/>
    </row>
    <row r="87" spans="1:24" s="21" customFormat="1" ht="15.55">
      <c r="A87" s="85"/>
      <c r="B87" s="20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4"/>
      <c r="R87" s="4"/>
      <c r="S87" s="4"/>
      <c r="T87" s="4"/>
      <c r="U87" s="4"/>
      <c r="V87" s="4"/>
      <c r="W87" s="4"/>
      <c r="X87" s="4"/>
    </row>
    <row r="88" spans="1:24" s="21" customFormat="1" ht="15.55">
      <c r="A88" s="85"/>
      <c r="B88" s="2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4"/>
      <c r="R88" s="4"/>
      <c r="S88" s="4"/>
      <c r="T88" s="4"/>
      <c r="U88" s="4"/>
      <c r="V88" s="4"/>
      <c r="W88" s="4"/>
      <c r="X88" s="4"/>
    </row>
    <row r="89" spans="1:24" s="21" customFormat="1" ht="15.55">
      <c r="A89" s="85"/>
      <c r="B89" s="20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4"/>
      <c r="R89" s="4"/>
      <c r="S89" s="4"/>
      <c r="T89" s="4"/>
      <c r="U89" s="4"/>
      <c r="V89" s="4"/>
      <c r="W89" s="4"/>
      <c r="X89" s="4"/>
    </row>
    <row r="90" spans="1:24" s="21" customFormat="1" ht="15.55">
      <c r="A90" s="85"/>
      <c r="B90" s="2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4"/>
      <c r="R90" s="4"/>
      <c r="S90" s="4"/>
      <c r="T90" s="4"/>
      <c r="U90" s="4"/>
      <c r="V90" s="4"/>
      <c r="W90" s="4"/>
      <c r="X90" s="4"/>
    </row>
    <row r="91" spans="1:24" s="21" customFormat="1" ht="15.55">
      <c r="A91" s="85"/>
      <c r="B91" s="20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4"/>
      <c r="R91" s="4"/>
      <c r="S91" s="4"/>
      <c r="T91" s="4"/>
      <c r="U91" s="4"/>
      <c r="V91" s="4"/>
      <c r="W91" s="4"/>
      <c r="X91" s="4"/>
    </row>
    <row r="92" spans="1:24" s="21" customFormat="1" ht="15.55">
      <c r="A92" s="85"/>
      <c r="B92" s="20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"/>
      <c r="R92" s="4"/>
      <c r="S92" s="4"/>
      <c r="T92" s="4"/>
      <c r="U92" s="4"/>
      <c r="V92" s="4"/>
      <c r="W92" s="4"/>
      <c r="X92" s="4"/>
    </row>
    <row r="93" spans="1:24" s="21" customFormat="1" ht="15.55">
      <c r="A93" s="85"/>
      <c r="B93" s="20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4"/>
      <c r="R93" s="4"/>
      <c r="S93" s="4"/>
      <c r="T93" s="4"/>
      <c r="U93" s="4"/>
      <c r="V93" s="4"/>
      <c r="W93" s="4"/>
      <c r="X93" s="4"/>
    </row>
    <row r="94" spans="1:24" s="21" customFormat="1" ht="15.55">
      <c r="A94" s="85"/>
      <c r="B94" s="20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4"/>
      <c r="R94" s="4"/>
      <c r="S94" s="4"/>
      <c r="T94" s="4"/>
      <c r="U94" s="4"/>
      <c r="V94" s="4"/>
      <c r="W94" s="4"/>
      <c r="X94" s="4"/>
    </row>
    <row r="95" spans="1:24" s="21" customFormat="1" ht="15.55">
      <c r="A95" s="85"/>
      <c r="B95" s="20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4"/>
      <c r="R95" s="4"/>
      <c r="S95" s="4"/>
      <c r="T95" s="4"/>
      <c r="U95" s="4"/>
      <c r="V95" s="4"/>
      <c r="W95" s="4"/>
      <c r="X95" s="4"/>
    </row>
    <row r="96" spans="1:24" s="21" customFormat="1" ht="15.55">
      <c r="A96" s="85"/>
      <c r="B96" s="20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4"/>
      <c r="R96" s="4"/>
      <c r="S96" s="4"/>
      <c r="T96" s="4"/>
      <c r="U96" s="4"/>
      <c r="V96" s="4"/>
      <c r="W96" s="4"/>
      <c r="X96" s="4"/>
    </row>
    <row r="97" spans="1:24" s="21" customFormat="1" ht="15.55">
      <c r="A97" s="85"/>
      <c r="B97" s="20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4"/>
      <c r="R97" s="4"/>
      <c r="S97" s="4"/>
      <c r="T97" s="4"/>
      <c r="U97" s="4"/>
      <c r="V97" s="4"/>
      <c r="W97" s="4"/>
      <c r="X97" s="4"/>
    </row>
    <row r="98" spans="1:24" s="21" customFormat="1" ht="15.55">
      <c r="A98" s="85"/>
      <c r="B98" s="20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4"/>
      <c r="R98" s="4"/>
      <c r="S98" s="4"/>
      <c r="T98" s="4"/>
      <c r="U98" s="4"/>
      <c r="V98" s="4"/>
      <c r="W98" s="4"/>
      <c r="X98" s="4"/>
    </row>
    <row r="99" spans="1:24" s="21" customFormat="1" ht="15.55">
      <c r="A99" s="85"/>
      <c r="B99" s="20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4"/>
      <c r="R99" s="4"/>
      <c r="S99" s="4"/>
      <c r="T99" s="4"/>
      <c r="U99" s="4"/>
      <c r="V99" s="4"/>
      <c r="W99" s="4"/>
      <c r="X99" s="4"/>
    </row>
    <row r="100" spans="1:24" s="21" customFormat="1" ht="15.55">
      <c r="A100" s="85"/>
      <c r="B100" s="20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4"/>
      <c r="R100" s="4"/>
      <c r="S100" s="4"/>
      <c r="T100" s="4"/>
      <c r="U100" s="4"/>
      <c r="V100" s="4"/>
      <c r="W100" s="4"/>
      <c r="X100" s="4"/>
    </row>
    <row r="101" spans="1:24" s="21" customFormat="1" ht="15.55">
      <c r="A101" s="85"/>
      <c r="B101" s="20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4"/>
      <c r="R101" s="4"/>
      <c r="S101" s="4"/>
      <c r="T101" s="4"/>
      <c r="U101" s="4"/>
      <c r="V101" s="4"/>
      <c r="W101" s="4"/>
      <c r="X101" s="4"/>
    </row>
    <row r="102" spans="1:24" s="21" customFormat="1" ht="15.55">
      <c r="A102" s="85"/>
      <c r="B102" s="20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4"/>
      <c r="R102" s="4"/>
      <c r="S102" s="4"/>
      <c r="T102" s="4"/>
      <c r="U102" s="4"/>
      <c r="V102" s="4"/>
      <c r="W102" s="4"/>
      <c r="X102" s="4"/>
    </row>
    <row r="103" spans="1:24" s="21" customFormat="1" ht="15.55">
      <c r="A103" s="85"/>
      <c r="B103" s="20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4"/>
      <c r="R103" s="4"/>
      <c r="S103" s="4"/>
      <c r="T103" s="4"/>
      <c r="U103" s="4"/>
      <c r="V103" s="4"/>
      <c r="W103" s="4"/>
      <c r="X103" s="4"/>
    </row>
    <row r="104" spans="1:24" s="21" customFormat="1" ht="15.55">
      <c r="A104" s="85"/>
      <c r="B104" s="20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4"/>
      <c r="R104" s="4"/>
      <c r="S104" s="4"/>
      <c r="T104" s="4"/>
      <c r="U104" s="4"/>
      <c r="V104" s="4"/>
      <c r="W104" s="4"/>
      <c r="X104" s="4"/>
    </row>
    <row r="105" spans="1:24" s="21" customFormat="1" ht="15.55">
      <c r="A105" s="85"/>
      <c r="B105" s="20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4"/>
      <c r="R105" s="4"/>
      <c r="S105" s="4"/>
      <c r="T105" s="4"/>
      <c r="U105" s="4"/>
      <c r="V105" s="4"/>
      <c r="W105" s="4"/>
      <c r="X105" s="4"/>
    </row>
    <row r="106" spans="1:24" s="21" customFormat="1" ht="15.55">
      <c r="A106" s="85"/>
      <c r="B106" s="20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4"/>
      <c r="R106" s="4"/>
      <c r="S106" s="4"/>
      <c r="T106" s="4"/>
      <c r="U106" s="4"/>
      <c r="V106" s="4"/>
      <c r="W106" s="4"/>
      <c r="X106" s="4"/>
    </row>
    <row r="107" spans="1:24" s="21" customFormat="1" ht="15.55">
      <c r="A107" s="85"/>
      <c r="B107" s="20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4"/>
      <c r="R107" s="4"/>
      <c r="S107" s="4"/>
      <c r="T107" s="4"/>
      <c r="U107" s="4"/>
      <c r="V107" s="4"/>
      <c r="W107" s="4"/>
      <c r="X107" s="4"/>
    </row>
    <row r="108" spans="1:24" s="21" customFormat="1" ht="15.55">
      <c r="A108" s="85"/>
      <c r="B108" s="20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4"/>
      <c r="R108" s="4"/>
      <c r="S108" s="4"/>
      <c r="T108" s="4"/>
      <c r="U108" s="4"/>
      <c r="V108" s="4"/>
      <c r="W108" s="4"/>
      <c r="X108" s="4"/>
    </row>
    <row r="109" spans="1:24" s="21" customFormat="1" ht="15.55">
      <c r="A109" s="85"/>
      <c r="B109" s="20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4"/>
      <c r="R109" s="4"/>
      <c r="S109" s="4"/>
      <c r="T109" s="4"/>
      <c r="U109" s="4"/>
      <c r="V109" s="4"/>
      <c r="W109" s="4"/>
      <c r="X109" s="4"/>
    </row>
    <row r="110" spans="1:24" s="21" customFormat="1" ht="15.55">
      <c r="A110" s="85"/>
      <c r="B110" s="20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4"/>
      <c r="R110" s="4"/>
      <c r="S110" s="4"/>
      <c r="T110" s="4"/>
      <c r="U110" s="4"/>
      <c r="V110" s="4"/>
      <c r="W110" s="4"/>
      <c r="X110" s="4"/>
    </row>
    <row r="111" spans="1:24" s="21" customFormat="1" ht="15.55">
      <c r="A111" s="85"/>
      <c r="B111" s="20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4"/>
      <c r="R111" s="4"/>
      <c r="S111" s="4"/>
      <c r="T111" s="4"/>
      <c r="U111" s="4"/>
      <c r="V111" s="4"/>
      <c r="W111" s="4"/>
      <c r="X111" s="4"/>
    </row>
    <row r="112" spans="1:24" s="21" customFormat="1" ht="15.55">
      <c r="A112" s="85"/>
      <c r="B112" s="20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4"/>
      <c r="R112" s="4"/>
      <c r="S112" s="4"/>
      <c r="T112" s="4"/>
      <c r="U112" s="4"/>
      <c r="V112" s="4"/>
      <c r="W112" s="4"/>
      <c r="X112" s="4"/>
    </row>
    <row r="113" spans="1:24" s="21" customFormat="1" ht="15.55">
      <c r="A113" s="85"/>
      <c r="B113" s="20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4"/>
      <c r="R113" s="4"/>
      <c r="S113" s="4"/>
      <c r="T113" s="4"/>
      <c r="U113" s="4"/>
      <c r="V113" s="4"/>
      <c r="W113" s="4"/>
      <c r="X113" s="4"/>
    </row>
    <row r="114" spans="1:24" s="21" customFormat="1" ht="15.55">
      <c r="A114" s="85"/>
      <c r="B114" s="20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4"/>
      <c r="R114" s="4"/>
      <c r="S114" s="4"/>
      <c r="T114" s="4"/>
      <c r="U114" s="4"/>
      <c r="V114" s="4"/>
      <c r="W114" s="4"/>
      <c r="X114" s="4"/>
    </row>
    <row r="115" spans="1:24" s="21" customFormat="1" ht="15.55">
      <c r="A115" s="85"/>
      <c r="B115" s="20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4"/>
      <c r="R115" s="4"/>
      <c r="S115" s="4"/>
      <c r="T115" s="4"/>
      <c r="U115" s="4"/>
      <c r="V115" s="4"/>
      <c r="W115" s="4"/>
      <c r="X115" s="4"/>
    </row>
    <row r="116" spans="1:24" s="21" customFormat="1" ht="15.55">
      <c r="A116" s="85"/>
      <c r="B116" s="20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4"/>
      <c r="R116" s="4"/>
      <c r="S116" s="4"/>
      <c r="T116" s="4"/>
      <c r="U116" s="4"/>
      <c r="V116" s="4"/>
      <c r="W116" s="4"/>
      <c r="X116" s="4"/>
    </row>
    <row r="117" spans="1:24" s="21" customFormat="1" ht="15.55">
      <c r="A117" s="85"/>
      <c r="B117" s="20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4"/>
      <c r="R117" s="4"/>
      <c r="S117" s="4"/>
      <c r="T117" s="4"/>
      <c r="U117" s="4"/>
      <c r="V117" s="4"/>
      <c r="W117" s="4"/>
      <c r="X117" s="4"/>
    </row>
    <row r="118" spans="1:24" s="21" customFormat="1" ht="15.55">
      <c r="A118" s="85"/>
      <c r="B118" s="20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4"/>
      <c r="R118" s="4"/>
      <c r="S118" s="4"/>
      <c r="T118" s="4"/>
      <c r="U118" s="4"/>
      <c r="V118" s="4"/>
      <c r="W118" s="4"/>
      <c r="X118" s="4"/>
    </row>
    <row r="119" spans="1:24" s="21" customFormat="1" ht="15.55">
      <c r="A119" s="85"/>
      <c r="B119" s="20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4"/>
      <c r="R119" s="4"/>
      <c r="S119" s="4"/>
      <c r="T119" s="4"/>
      <c r="U119" s="4"/>
      <c r="V119" s="4"/>
      <c r="W119" s="4"/>
      <c r="X119" s="4"/>
    </row>
  </sheetData>
  <mergeCells count="1">
    <mergeCell ref="C2:P2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verticalDpi="300" r:id="rId1"/>
  <headerFooter alignWithMargins="0"/>
  <rowBreaks count="1" manualBreakCount="1">
    <brk id="3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="75" workbookViewId="0">
      <selection activeCell="G1" sqref="G1"/>
    </sheetView>
  </sheetViews>
  <sheetFormatPr defaultColWidth="9.125" defaultRowHeight="12.7"/>
  <cols>
    <col min="1" max="1" width="9.125" style="1"/>
    <col min="2" max="2" width="51.125" style="1" customWidth="1"/>
    <col min="3" max="4" width="18.125" style="1" customWidth="1"/>
    <col min="5" max="5" width="19" style="1" customWidth="1"/>
    <col min="6" max="6" width="17.5" style="1" customWidth="1"/>
    <col min="7" max="7" width="19" style="1" customWidth="1"/>
    <col min="8" max="8" width="17.5" style="1" customWidth="1"/>
    <col min="9" max="16384" width="9.125" style="1"/>
  </cols>
  <sheetData>
    <row r="1" spans="1:19">
      <c r="G1" s="1" t="s">
        <v>330</v>
      </c>
    </row>
    <row r="2" spans="1:19">
      <c r="B2" s="243" t="s">
        <v>317</v>
      </c>
      <c r="C2" s="243"/>
      <c r="D2" s="243"/>
      <c r="E2" s="243"/>
      <c r="F2" s="243"/>
      <c r="G2" s="243"/>
      <c r="H2" s="243"/>
      <c r="I2" s="243"/>
      <c r="J2" s="243"/>
    </row>
    <row r="3" spans="1:19" ht="20.5">
      <c r="B3" s="43" t="s">
        <v>214</v>
      </c>
      <c r="E3" s="242"/>
      <c r="F3" s="242"/>
      <c r="G3" s="242"/>
      <c r="H3" s="242"/>
    </row>
    <row r="4" spans="1:19">
      <c r="D4" s="1" t="s">
        <v>81</v>
      </c>
    </row>
    <row r="5" spans="1:19" ht="50.85">
      <c r="B5" s="44" t="s">
        <v>0</v>
      </c>
      <c r="C5" s="45" t="s">
        <v>1</v>
      </c>
      <c r="D5" s="45" t="s">
        <v>74</v>
      </c>
      <c r="E5" s="45" t="s">
        <v>66</v>
      </c>
      <c r="F5" s="45" t="s">
        <v>67</v>
      </c>
      <c r="G5" s="45" t="s">
        <v>69</v>
      </c>
      <c r="H5" s="45" t="s">
        <v>70</v>
      </c>
    </row>
    <row r="6" spans="1:19" ht="14.15">
      <c r="B6" s="46" t="s">
        <v>5</v>
      </c>
      <c r="C6" s="47" t="s">
        <v>6</v>
      </c>
      <c r="D6" s="47" t="s">
        <v>7</v>
      </c>
      <c r="E6" s="47" t="s">
        <v>8</v>
      </c>
      <c r="F6" s="47" t="s">
        <v>76</v>
      </c>
      <c r="G6" s="47" t="s">
        <v>10</v>
      </c>
      <c r="H6" s="47" t="s">
        <v>11</v>
      </c>
    </row>
    <row r="7" spans="1:19" ht="16.25">
      <c r="A7" s="1">
        <v>1</v>
      </c>
      <c r="B7" s="48" t="s">
        <v>149</v>
      </c>
      <c r="C7" s="49">
        <v>88000000</v>
      </c>
      <c r="D7" s="49">
        <v>87623701</v>
      </c>
      <c r="E7" s="49">
        <f>C7</f>
        <v>88000000</v>
      </c>
      <c r="F7" s="49"/>
      <c r="G7" s="49">
        <f>D7</f>
        <v>87623701</v>
      </c>
      <c r="H7" s="49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25">
      <c r="A8" s="1">
        <v>2</v>
      </c>
      <c r="B8" s="48" t="s">
        <v>150</v>
      </c>
      <c r="C8" s="49">
        <v>34000000</v>
      </c>
      <c r="D8" s="49">
        <v>73092378</v>
      </c>
      <c r="E8" s="49">
        <f t="shared" ref="E8:E9" si="0">C8</f>
        <v>34000000</v>
      </c>
      <c r="F8" s="49"/>
      <c r="G8" s="49">
        <f t="shared" ref="G8:G14" si="1">D8</f>
        <v>73092378</v>
      </c>
      <c r="H8" s="49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25">
      <c r="A9" s="1">
        <v>3</v>
      </c>
      <c r="B9" s="48" t="s">
        <v>151</v>
      </c>
      <c r="C9" s="49">
        <v>50000000</v>
      </c>
      <c r="D9" s="49">
        <v>65224151</v>
      </c>
      <c r="E9" s="49">
        <f t="shared" si="0"/>
        <v>50000000</v>
      </c>
      <c r="F9" s="49"/>
      <c r="G9" s="49">
        <f t="shared" si="1"/>
        <v>65224151</v>
      </c>
      <c r="H9" s="49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25">
      <c r="A10" s="1">
        <v>4</v>
      </c>
      <c r="B10" s="48" t="s">
        <v>196</v>
      </c>
      <c r="C10" s="49">
        <v>7300000</v>
      </c>
      <c r="D10" s="49">
        <v>7072184</v>
      </c>
      <c r="E10" s="49">
        <f t="shared" ref="E10:E14" si="2">C10</f>
        <v>7300000</v>
      </c>
      <c r="F10" s="49"/>
      <c r="G10" s="49">
        <f t="shared" si="1"/>
        <v>7072184</v>
      </c>
      <c r="H10" s="4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6.25">
      <c r="A11" s="1">
        <v>5</v>
      </c>
      <c r="B11" s="48" t="s">
        <v>132</v>
      </c>
      <c r="C11" s="49">
        <v>0</v>
      </c>
      <c r="D11" s="49">
        <v>0</v>
      </c>
      <c r="E11" s="49">
        <f t="shared" si="2"/>
        <v>0</v>
      </c>
      <c r="F11" s="49"/>
      <c r="G11" s="49">
        <f t="shared" si="1"/>
        <v>0</v>
      </c>
      <c r="H11" s="4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6.25">
      <c r="A12" s="1">
        <v>6</v>
      </c>
      <c r="B12" s="48" t="s">
        <v>152</v>
      </c>
      <c r="C12" s="49">
        <v>0</v>
      </c>
      <c r="D12" s="49">
        <v>0</v>
      </c>
      <c r="E12" s="49">
        <f t="shared" si="2"/>
        <v>0</v>
      </c>
      <c r="F12" s="49"/>
      <c r="G12" s="49">
        <f t="shared" si="1"/>
        <v>0</v>
      </c>
      <c r="H12" s="4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6.25">
      <c r="A13" s="1">
        <v>7</v>
      </c>
      <c r="B13" s="48" t="s">
        <v>153</v>
      </c>
      <c r="C13" s="49">
        <v>70000000</v>
      </c>
      <c r="D13" s="49">
        <v>66364015</v>
      </c>
      <c r="E13" s="49">
        <f t="shared" si="2"/>
        <v>70000000</v>
      </c>
      <c r="F13" s="49"/>
      <c r="G13" s="49">
        <f t="shared" si="1"/>
        <v>66364015</v>
      </c>
      <c r="H13" s="4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7.2" customHeight="1">
      <c r="A14" s="1">
        <v>8</v>
      </c>
      <c r="B14" s="48" t="s">
        <v>154</v>
      </c>
      <c r="C14" s="49">
        <v>2500000</v>
      </c>
      <c r="D14" s="49">
        <v>1847922</v>
      </c>
      <c r="E14" s="49">
        <f t="shared" si="2"/>
        <v>2500000</v>
      </c>
      <c r="F14" s="49"/>
      <c r="G14" s="49">
        <f t="shared" si="1"/>
        <v>1847922</v>
      </c>
      <c r="H14" s="4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.55">
      <c r="A15" s="1">
        <v>9</v>
      </c>
      <c r="B15" s="50" t="s">
        <v>75</v>
      </c>
      <c r="C15" s="51">
        <f>SUM(C7:C14)</f>
        <v>251800000</v>
      </c>
      <c r="D15" s="51">
        <f>SUM(D7:D14)</f>
        <v>301224351</v>
      </c>
      <c r="E15" s="51">
        <f t="shared" ref="E15:H15" si="3">SUM(E7:E14)</f>
        <v>251800000</v>
      </c>
      <c r="F15" s="51">
        <f t="shared" si="3"/>
        <v>0</v>
      </c>
      <c r="G15" s="51">
        <f t="shared" si="3"/>
        <v>301224351</v>
      </c>
      <c r="H15" s="51">
        <f t="shared" si="3"/>
        <v>0</v>
      </c>
    </row>
    <row r="16" spans="1:19">
      <c r="H16" s="1" t="s">
        <v>315</v>
      </c>
    </row>
  </sheetData>
  <mergeCells count="2">
    <mergeCell ref="E3:H3"/>
    <mergeCell ref="B2:J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1"/>
  <sheetViews>
    <sheetView zoomScale="75" zoomScaleNormal="75" workbookViewId="0">
      <selection activeCell="G1" sqref="G1"/>
    </sheetView>
  </sheetViews>
  <sheetFormatPr defaultColWidth="9.125" defaultRowHeight="12.7"/>
  <cols>
    <col min="1" max="1" width="9.125" style="1" customWidth="1"/>
    <col min="2" max="2" width="71.5" style="1" customWidth="1"/>
    <col min="3" max="3" width="18.875" style="1" customWidth="1"/>
    <col min="4" max="8" width="19.375" style="1" customWidth="1"/>
    <col min="9" max="9" width="21.875" style="1" customWidth="1"/>
    <col min="10" max="10" width="21" style="1" customWidth="1"/>
    <col min="11" max="11" width="19.625" style="1" customWidth="1"/>
    <col min="12" max="12" width="21" style="1" customWidth="1"/>
    <col min="13" max="16384" width="9.125" style="1"/>
  </cols>
  <sheetData>
    <row r="1" spans="1:30">
      <c r="G1" s="1" t="s">
        <v>331</v>
      </c>
    </row>
    <row r="2" spans="1:30">
      <c r="A2" s="244" t="s">
        <v>318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30" ht="20.5">
      <c r="B3" s="43" t="s">
        <v>216</v>
      </c>
      <c r="I3" s="245"/>
      <c r="J3" s="245"/>
      <c r="K3" s="245"/>
      <c r="L3" s="245"/>
    </row>
    <row r="4" spans="1:30">
      <c r="K4" s="1" t="s">
        <v>81</v>
      </c>
    </row>
    <row r="5" spans="1:30" ht="59.3">
      <c r="B5" s="53" t="s">
        <v>0</v>
      </c>
      <c r="C5" s="47" t="s">
        <v>1</v>
      </c>
      <c r="D5" s="47" t="s">
        <v>62</v>
      </c>
      <c r="E5" s="47" t="s">
        <v>252</v>
      </c>
      <c r="F5" s="47" t="s">
        <v>253</v>
      </c>
      <c r="G5" s="47" t="s">
        <v>257</v>
      </c>
      <c r="H5" s="47" t="s">
        <v>258</v>
      </c>
      <c r="I5" s="54" t="s">
        <v>66</v>
      </c>
      <c r="J5" s="54" t="s">
        <v>67</v>
      </c>
      <c r="K5" s="54" t="s">
        <v>69</v>
      </c>
      <c r="L5" s="54" t="s">
        <v>70</v>
      </c>
      <c r="N5" s="3"/>
    </row>
    <row r="6" spans="1:30" ht="14.15">
      <c r="B6" s="47" t="s">
        <v>5</v>
      </c>
      <c r="C6" s="47" t="s">
        <v>6</v>
      </c>
      <c r="D6" s="47" t="s">
        <v>7</v>
      </c>
      <c r="E6" s="47" t="s">
        <v>8</v>
      </c>
      <c r="F6" s="47" t="s">
        <v>9</v>
      </c>
      <c r="G6" s="47" t="s">
        <v>10</v>
      </c>
      <c r="H6" s="47" t="s">
        <v>11</v>
      </c>
      <c r="I6" s="47" t="s">
        <v>12</v>
      </c>
      <c r="J6" s="47" t="s">
        <v>13</v>
      </c>
      <c r="K6" s="47" t="s">
        <v>14</v>
      </c>
      <c r="L6" s="47" t="s">
        <v>15</v>
      </c>
    </row>
    <row r="7" spans="1:30" ht="16.25">
      <c r="A7" s="1">
        <v>1</v>
      </c>
      <c r="B7" s="67" t="s">
        <v>275</v>
      </c>
      <c r="C7" s="56">
        <v>0</v>
      </c>
      <c r="D7" s="56">
        <v>0</v>
      </c>
      <c r="E7" s="56">
        <v>0</v>
      </c>
      <c r="F7" s="55">
        <v>2822115</v>
      </c>
      <c r="G7" s="55"/>
      <c r="H7" s="55"/>
      <c r="I7" s="56">
        <f t="shared" ref="I7:J14" si="0">C7</f>
        <v>0</v>
      </c>
      <c r="J7" s="56">
        <f t="shared" si="0"/>
        <v>0</v>
      </c>
      <c r="K7" s="56">
        <f>F7</f>
        <v>2822115</v>
      </c>
      <c r="L7" s="56">
        <f>E12</f>
        <v>0</v>
      </c>
    </row>
    <row r="8" spans="1:30" ht="16.25">
      <c r="A8" s="1">
        <v>2</v>
      </c>
      <c r="B8" s="67" t="s">
        <v>273</v>
      </c>
      <c r="C8" s="55">
        <v>0</v>
      </c>
      <c r="D8" s="55">
        <v>50000</v>
      </c>
      <c r="E8" s="55">
        <v>50000</v>
      </c>
      <c r="F8" s="55">
        <v>0</v>
      </c>
      <c r="G8" s="55"/>
      <c r="H8" s="55"/>
      <c r="I8" s="56">
        <f t="shared" ref="I8" si="1">C8</f>
        <v>0</v>
      </c>
      <c r="J8" s="56">
        <f t="shared" ref="J8" si="2">D8</f>
        <v>50000</v>
      </c>
      <c r="K8" s="56">
        <f t="shared" ref="K8:K13" si="3">D8</f>
        <v>50000</v>
      </c>
      <c r="L8" s="56">
        <f>E12</f>
        <v>0</v>
      </c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</row>
    <row r="9" spans="1:30" ht="16.25">
      <c r="A9" s="1">
        <v>3</v>
      </c>
      <c r="B9" s="67" t="s">
        <v>274</v>
      </c>
      <c r="C9" s="55">
        <v>0</v>
      </c>
      <c r="D9" s="55">
        <v>1622681</v>
      </c>
      <c r="E9" s="55">
        <v>1622681</v>
      </c>
      <c r="F9" s="55">
        <v>0</v>
      </c>
      <c r="G9" s="55"/>
      <c r="H9" s="55"/>
      <c r="I9" s="56">
        <f t="shared" ref="I9" si="4">C9</f>
        <v>0</v>
      </c>
      <c r="J9" s="56">
        <f t="shared" ref="J9" si="5">D9</f>
        <v>1622681</v>
      </c>
      <c r="K9" s="56">
        <f t="shared" si="3"/>
        <v>1622681</v>
      </c>
      <c r="L9" s="56">
        <f>E13</f>
        <v>6827600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</row>
    <row r="10" spans="1:30" ht="16.25">
      <c r="A10" s="1">
        <v>4</v>
      </c>
      <c r="B10" s="67" t="s">
        <v>276</v>
      </c>
      <c r="C10" s="55">
        <v>0</v>
      </c>
      <c r="D10" s="55">
        <v>306000</v>
      </c>
      <c r="E10" s="55">
        <v>306000</v>
      </c>
      <c r="F10" s="55">
        <v>0</v>
      </c>
      <c r="G10" s="55"/>
      <c r="H10" s="55"/>
      <c r="I10" s="56">
        <f t="shared" ref="I10" si="6">C10</f>
        <v>0</v>
      </c>
      <c r="J10" s="56">
        <f t="shared" ref="J10" si="7">D10</f>
        <v>306000</v>
      </c>
      <c r="K10" s="56">
        <f t="shared" si="3"/>
        <v>306000</v>
      </c>
      <c r="L10" s="56">
        <f>E14</f>
        <v>400000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1:30" ht="25.45">
      <c r="A11" s="1">
        <v>5</v>
      </c>
      <c r="B11" s="67" t="s">
        <v>277</v>
      </c>
      <c r="C11" s="55">
        <v>0</v>
      </c>
      <c r="D11" s="55">
        <v>500000</v>
      </c>
      <c r="E11" s="55">
        <v>500000</v>
      </c>
      <c r="F11" s="55">
        <v>0</v>
      </c>
      <c r="G11" s="55"/>
      <c r="H11" s="55"/>
      <c r="I11" s="56">
        <f t="shared" ref="I11" si="8">C11</f>
        <v>0</v>
      </c>
      <c r="J11" s="56">
        <f t="shared" ref="J11" si="9">D11</f>
        <v>500000</v>
      </c>
      <c r="K11" s="56">
        <f t="shared" si="3"/>
        <v>500000</v>
      </c>
      <c r="L11" s="56">
        <f>E14</f>
        <v>400000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1:30" ht="16.25">
      <c r="A12" s="1">
        <v>6</v>
      </c>
      <c r="B12" s="67" t="s">
        <v>254</v>
      </c>
      <c r="C12" s="55">
        <v>0</v>
      </c>
      <c r="D12" s="55">
        <v>0</v>
      </c>
      <c r="E12" s="55">
        <v>0</v>
      </c>
      <c r="F12" s="55">
        <v>0</v>
      </c>
      <c r="G12" s="55"/>
      <c r="H12" s="55"/>
      <c r="I12" s="56">
        <f t="shared" si="0"/>
        <v>0</v>
      </c>
      <c r="J12" s="56">
        <f t="shared" si="0"/>
        <v>0</v>
      </c>
      <c r="K12" s="56">
        <f t="shared" si="3"/>
        <v>0</v>
      </c>
      <c r="L12" s="56">
        <f>E13</f>
        <v>6827600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1:30" ht="16.25">
      <c r="A13" s="1">
        <v>7</v>
      </c>
      <c r="B13" s="207" t="s">
        <v>256</v>
      </c>
      <c r="C13" s="55">
        <v>0</v>
      </c>
      <c r="D13" s="55">
        <v>6827600</v>
      </c>
      <c r="E13" s="55">
        <v>6827600</v>
      </c>
      <c r="F13" s="55">
        <v>0</v>
      </c>
      <c r="G13" s="55"/>
      <c r="H13" s="55"/>
      <c r="I13" s="56">
        <f t="shared" si="0"/>
        <v>0</v>
      </c>
      <c r="J13" s="56">
        <f t="shared" si="0"/>
        <v>6827600</v>
      </c>
      <c r="K13" s="56">
        <f t="shared" si="3"/>
        <v>6827600</v>
      </c>
      <c r="L13" s="56">
        <f>E13</f>
        <v>6827600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</row>
    <row r="14" spans="1:30" ht="16.25">
      <c r="A14" s="1">
        <v>8</v>
      </c>
      <c r="B14" s="207" t="s">
        <v>255</v>
      </c>
      <c r="C14" s="56">
        <v>0</v>
      </c>
      <c r="D14" s="56">
        <v>400000</v>
      </c>
      <c r="E14" s="56">
        <v>400000</v>
      </c>
      <c r="F14" s="56">
        <v>0</v>
      </c>
      <c r="G14" s="56"/>
      <c r="H14" s="56">
        <v>1066745</v>
      </c>
      <c r="I14" s="56">
        <f t="shared" si="0"/>
        <v>0</v>
      </c>
      <c r="J14" s="56">
        <f t="shared" si="0"/>
        <v>400000</v>
      </c>
      <c r="K14" s="56">
        <f>H14+F14+D14</f>
        <v>1466745</v>
      </c>
      <c r="L14" s="56">
        <f>E14</f>
        <v>400000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6.25">
      <c r="A15" s="1">
        <v>9</v>
      </c>
      <c r="B15" s="66" t="s">
        <v>148</v>
      </c>
      <c r="C15" s="55">
        <v>1800000</v>
      </c>
      <c r="D15" s="55">
        <v>2900000</v>
      </c>
      <c r="E15" s="55">
        <v>2900000</v>
      </c>
      <c r="F15" s="55">
        <v>750000</v>
      </c>
      <c r="G15" s="55"/>
      <c r="H15" s="55"/>
      <c r="I15" s="56">
        <f>C15</f>
        <v>1800000</v>
      </c>
      <c r="J15" s="56">
        <v>0</v>
      </c>
      <c r="K15" s="56">
        <f>F15+D15</f>
        <v>3650000</v>
      </c>
      <c r="L15" s="56">
        <v>0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</row>
    <row r="16" spans="1:30" ht="16.95">
      <c r="A16" s="1">
        <v>10</v>
      </c>
      <c r="B16" s="50" t="s">
        <v>77</v>
      </c>
      <c r="C16" s="58">
        <f>SUM(C7:C15)</f>
        <v>1800000</v>
      </c>
      <c r="D16" s="58">
        <f t="shared" ref="D16:H16" si="10">SUM(D7:D15)</f>
        <v>12606281</v>
      </c>
      <c r="E16" s="58">
        <f t="shared" si="10"/>
        <v>12606281</v>
      </c>
      <c r="F16" s="58">
        <f t="shared" si="10"/>
        <v>3572115</v>
      </c>
      <c r="G16" s="58">
        <f t="shared" si="10"/>
        <v>0</v>
      </c>
      <c r="H16" s="58">
        <f t="shared" si="10"/>
        <v>1066745</v>
      </c>
      <c r="I16" s="58">
        <f>SUM(I12:I15)</f>
        <v>1800000</v>
      </c>
      <c r="J16" s="58">
        <f>SUM(J12:J15)</f>
        <v>7227600</v>
      </c>
      <c r="K16" s="58">
        <f>SUM(K7:K15)</f>
        <v>17245141</v>
      </c>
      <c r="L16" s="58">
        <f>SUM(L7:L15)</f>
        <v>21682800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0"/>
      <c r="AA16" s="60"/>
      <c r="AB16" s="61"/>
      <c r="AC16" s="61"/>
      <c r="AD16" s="61"/>
    </row>
    <row r="17" spans="1:30" ht="16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20" spans="1:30" ht="59.3">
      <c r="B20" s="53" t="s">
        <v>0</v>
      </c>
      <c r="C20" s="47" t="s">
        <v>1</v>
      </c>
      <c r="D20" s="47" t="s">
        <v>62</v>
      </c>
      <c r="E20" s="47" t="s">
        <v>252</v>
      </c>
      <c r="F20" s="47" t="s">
        <v>253</v>
      </c>
      <c r="G20" s="47" t="s">
        <v>257</v>
      </c>
      <c r="H20" s="47" t="s">
        <v>258</v>
      </c>
      <c r="I20" s="54" t="s">
        <v>66</v>
      </c>
      <c r="J20" s="54" t="s">
        <v>67</v>
      </c>
      <c r="K20" s="54" t="s">
        <v>69</v>
      </c>
      <c r="L20" s="54" t="s">
        <v>70</v>
      </c>
    </row>
    <row r="21" spans="1:30" ht="14.15">
      <c r="B21" s="47" t="s">
        <v>5</v>
      </c>
      <c r="C21" s="47" t="s">
        <v>6</v>
      </c>
      <c r="D21" s="47" t="s">
        <v>7</v>
      </c>
      <c r="E21" s="47" t="s">
        <v>8</v>
      </c>
      <c r="F21" s="47" t="s">
        <v>9</v>
      </c>
      <c r="G21" s="47" t="s">
        <v>10</v>
      </c>
      <c r="H21" s="47" t="s">
        <v>11</v>
      </c>
      <c r="I21" s="47" t="s">
        <v>12</v>
      </c>
      <c r="J21" s="47" t="s">
        <v>13</v>
      </c>
      <c r="K21" s="47" t="s">
        <v>14</v>
      </c>
      <c r="L21" s="47" t="s">
        <v>15</v>
      </c>
    </row>
    <row r="22" spans="1:30" ht="16.25">
      <c r="A22" s="1">
        <v>1</v>
      </c>
      <c r="B22" s="7" t="s">
        <v>278</v>
      </c>
      <c r="C22" s="62">
        <v>0</v>
      </c>
      <c r="D22" s="62">
        <v>389000</v>
      </c>
      <c r="E22" s="62">
        <v>389000</v>
      </c>
      <c r="F22" s="62"/>
      <c r="G22" s="62"/>
      <c r="H22" s="62"/>
      <c r="I22" s="56">
        <f>C22</f>
        <v>0</v>
      </c>
      <c r="J22" s="56"/>
      <c r="K22" s="56">
        <f>D22</f>
        <v>389000</v>
      </c>
      <c r="L22" s="56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1:30" ht="16.25">
      <c r="A23" s="1">
        <v>2</v>
      </c>
      <c r="B23" s="7" t="s">
        <v>285</v>
      </c>
      <c r="C23" s="62">
        <v>0</v>
      </c>
      <c r="D23" s="62">
        <v>9357597</v>
      </c>
      <c r="E23" s="62">
        <v>9357597</v>
      </c>
      <c r="F23" s="62"/>
      <c r="G23" s="62"/>
      <c r="H23" s="62"/>
      <c r="I23" s="56">
        <f t="shared" ref="I23:I24" si="11">C23</f>
        <v>0</v>
      </c>
      <c r="J23" s="56"/>
      <c r="K23" s="56">
        <f t="shared" ref="K23:K24" si="12">D23</f>
        <v>9357597</v>
      </c>
      <c r="L23" s="56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ht="28.25">
      <c r="A24" s="1">
        <v>3</v>
      </c>
      <c r="B24" s="7" t="s">
        <v>215</v>
      </c>
      <c r="C24" s="62">
        <v>28836000</v>
      </c>
      <c r="D24" s="62">
        <v>0</v>
      </c>
      <c r="E24" s="62">
        <v>0</v>
      </c>
      <c r="F24" s="62"/>
      <c r="G24" s="62"/>
      <c r="H24" s="62"/>
      <c r="I24" s="56">
        <f t="shared" si="11"/>
        <v>28836000</v>
      </c>
      <c r="J24" s="56"/>
      <c r="K24" s="56">
        <f t="shared" si="12"/>
        <v>0</v>
      </c>
      <c r="L24" s="56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6.95">
      <c r="A25" s="1">
        <v>4</v>
      </c>
      <c r="B25" s="50" t="s">
        <v>78</v>
      </c>
      <c r="C25" s="58">
        <f>SUM(C22:C24)</f>
        <v>28836000</v>
      </c>
      <c r="D25" s="58">
        <f t="shared" ref="D25:L25" si="13">SUM(D22:D24)</f>
        <v>9746597</v>
      </c>
      <c r="E25" s="58">
        <f t="shared" si="13"/>
        <v>9746597</v>
      </c>
      <c r="F25" s="58">
        <f t="shared" si="13"/>
        <v>0</v>
      </c>
      <c r="G25" s="58">
        <f t="shared" si="13"/>
        <v>0</v>
      </c>
      <c r="H25" s="58">
        <f t="shared" si="13"/>
        <v>0</v>
      </c>
      <c r="I25" s="58">
        <f t="shared" si="13"/>
        <v>28836000</v>
      </c>
      <c r="J25" s="58">
        <f t="shared" si="13"/>
        <v>0</v>
      </c>
      <c r="K25" s="58">
        <f t="shared" si="13"/>
        <v>9746597</v>
      </c>
      <c r="L25" s="58">
        <f t="shared" si="13"/>
        <v>0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60"/>
      <c r="AA25" s="60"/>
      <c r="AB25" s="61"/>
      <c r="AC25" s="61"/>
      <c r="AD25" s="61"/>
    </row>
    <row r="27" spans="1:30" ht="18.350000000000001">
      <c r="B27" s="64" t="s">
        <v>79</v>
      </c>
      <c r="C27" s="65">
        <f t="shared" ref="C27:L27" si="14">C25+C16</f>
        <v>30636000</v>
      </c>
      <c r="D27" s="65">
        <f t="shared" si="14"/>
        <v>22352878</v>
      </c>
      <c r="E27" s="65">
        <f t="shared" si="14"/>
        <v>22352878</v>
      </c>
      <c r="F27" s="65">
        <f t="shared" si="14"/>
        <v>3572115</v>
      </c>
      <c r="G27" s="65">
        <f t="shared" si="14"/>
        <v>0</v>
      </c>
      <c r="H27" s="65">
        <f t="shared" si="14"/>
        <v>1066745</v>
      </c>
      <c r="I27" s="65">
        <f t="shared" si="14"/>
        <v>30636000</v>
      </c>
      <c r="J27" s="65">
        <f t="shared" si="14"/>
        <v>7227600</v>
      </c>
      <c r="K27" s="65">
        <f t="shared" si="14"/>
        <v>26991738</v>
      </c>
      <c r="L27" s="65">
        <f t="shared" si="14"/>
        <v>21682800</v>
      </c>
    </row>
    <row r="31" spans="1:30" ht="20.5">
      <c r="B31" s="43" t="s">
        <v>282</v>
      </c>
      <c r="C31" s="65"/>
      <c r="D31" s="65"/>
      <c r="E31" s="65"/>
      <c r="F31" s="65"/>
      <c r="G31" s="65"/>
      <c r="H31" s="65"/>
      <c r="I31" s="65"/>
      <c r="J31" s="65"/>
      <c r="K31" s="65"/>
    </row>
    <row r="33" spans="1:24" ht="59.3">
      <c r="B33" s="53" t="s">
        <v>0</v>
      </c>
      <c r="C33" s="47" t="s">
        <v>1</v>
      </c>
      <c r="D33" s="47" t="s">
        <v>62</v>
      </c>
      <c r="E33" s="47" t="s">
        <v>257</v>
      </c>
      <c r="F33" s="47" t="s">
        <v>258</v>
      </c>
      <c r="G33" s="54" t="s">
        <v>66</v>
      </c>
      <c r="H33" s="54" t="s">
        <v>69</v>
      </c>
      <c r="I33" s="54" t="s">
        <v>67</v>
      </c>
      <c r="J33" s="54" t="s">
        <v>70</v>
      </c>
    </row>
    <row r="34" spans="1:24" ht="14.15">
      <c r="B34" s="47" t="s">
        <v>5</v>
      </c>
      <c r="C34" s="47" t="s">
        <v>6</v>
      </c>
      <c r="D34" s="47" t="s">
        <v>7</v>
      </c>
      <c r="E34" s="47" t="s">
        <v>76</v>
      </c>
      <c r="F34" s="47" t="s">
        <v>10</v>
      </c>
      <c r="G34" s="47" t="s">
        <v>12</v>
      </c>
      <c r="H34" s="47" t="s">
        <v>13</v>
      </c>
      <c r="I34" s="47" t="s">
        <v>15</v>
      </c>
      <c r="J34" s="47" t="s">
        <v>16</v>
      </c>
    </row>
    <row r="35" spans="1:24" ht="28.25">
      <c r="A35" s="1">
        <v>1</v>
      </c>
      <c r="B35" s="209" t="s">
        <v>283</v>
      </c>
      <c r="C35" s="210"/>
      <c r="D35" s="210">
        <v>685640</v>
      </c>
      <c r="E35" s="210"/>
      <c r="F35" s="210"/>
      <c r="G35" s="211">
        <f t="shared" ref="G35:H38" si="15">C35</f>
        <v>0</v>
      </c>
      <c r="H35" s="211">
        <f t="shared" si="15"/>
        <v>685640</v>
      </c>
      <c r="I35" s="211"/>
      <c r="J35" s="211"/>
    </row>
    <row r="36" spans="1:24" ht="28.25">
      <c r="A36" s="1">
        <v>2</v>
      </c>
      <c r="B36" s="209" t="s">
        <v>279</v>
      </c>
      <c r="C36" s="211"/>
      <c r="D36" s="211">
        <v>221237</v>
      </c>
      <c r="E36" s="211"/>
      <c r="F36" s="211"/>
      <c r="G36" s="211">
        <f t="shared" si="15"/>
        <v>0</v>
      </c>
      <c r="H36" s="211">
        <f t="shared" si="15"/>
        <v>221237</v>
      </c>
      <c r="I36" s="211"/>
      <c r="J36" s="211"/>
      <c r="K36" s="21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8.25">
      <c r="A37" s="1">
        <v>3</v>
      </c>
      <c r="B37" s="209" t="s">
        <v>284</v>
      </c>
      <c r="C37" s="210">
        <v>4350000</v>
      </c>
      <c r="D37" s="210">
        <v>3701570</v>
      </c>
      <c r="E37" s="210"/>
      <c r="F37" s="210"/>
      <c r="G37" s="211">
        <f t="shared" si="15"/>
        <v>4350000</v>
      </c>
      <c r="H37" s="211">
        <f t="shared" si="15"/>
        <v>3701570</v>
      </c>
      <c r="I37" s="211"/>
      <c r="J37" s="211"/>
      <c r="K37" s="212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1:24" ht="28.25">
      <c r="A38" s="1">
        <v>4</v>
      </c>
      <c r="B38" s="209" t="s">
        <v>280</v>
      </c>
      <c r="C38" s="210"/>
      <c r="D38" s="210">
        <v>100000</v>
      </c>
      <c r="E38" s="210"/>
      <c r="F38" s="210"/>
      <c r="G38" s="211">
        <f t="shared" si="15"/>
        <v>0</v>
      </c>
      <c r="H38" s="211">
        <f t="shared" si="15"/>
        <v>100000</v>
      </c>
      <c r="I38" s="211"/>
      <c r="J38" s="211"/>
      <c r="K38" s="212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1:24" ht="28.6" customHeight="1">
      <c r="A39" s="1">
        <v>5</v>
      </c>
      <c r="B39" s="214" t="s">
        <v>281</v>
      </c>
      <c r="C39" s="215">
        <f t="shared" ref="C39:J39" si="16">SUM(C35:C38)</f>
        <v>4350000</v>
      </c>
      <c r="D39" s="215">
        <f t="shared" si="16"/>
        <v>4708447</v>
      </c>
      <c r="E39" s="215">
        <f t="shared" si="16"/>
        <v>0</v>
      </c>
      <c r="F39" s="215">
        <f t="shared" si="16"/>
        <v>0</v>
      </c>
      <c r="G39" s="215">
        <f t="shared" si="16"/>
        <v>4350000</v>
      </c>
      <c r="H39" s="215">
        <f t="shared" si="16"/>
        <v>4708447</v>
      </c>
      <c r="I39" s="215">
        <f t="shared" si="16"/>
        <v>0</v>
      </c>
      <c r="J39" s="215">
        <f t="shared" si="16"/>
        <v>0</v>
      </c>
      <c r="K39" s="216"/>
      <c r="L39" s="59"/>
      <c r="M39" s="59"/>
      <c r="N39" s="59"/>
      <c r="O39" s="59"/>
      <c r="P39" s="59"/>
      <c r="Q39" s="59"/>
      <c r="R39" s="59"/>
      <c r="S39" s="59"/>
      <c r="T39" s="60"/>
      <c r="U39" s="60"/>
      <c r="V39" s="61"/>
      <c r="W39" s="61"/>
      <c r="X39" s="61"/>
    </row>
    <row r="41" spans="1:24">
      <c r="J41" s="1" t="s">
        <v>315</v>
      </c>
    </row>
  </sheetData>
  <mergeCells count="2">
    <mergeCell ref="A2:L2"/>
    <mergeCell ref="I3:L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zoomScale="75" zoomScaleNormal="75" workbookViewId="0">
      <selection activeCell="C1" sqref="C1"/>
    </sheetView>
  </sheetViews>
  <sheetFormatPr defaultColWidth="9.125" defaultRowHeight="12.7"/>
  <cols>
    <col min="1" max="1" width="9.125" style="1" customWidth="1"/>
    <col min="2" max="2" width="71.5" style="1" customWidth="1"/>
    <col min="3" max="3" width="18.875" style="1" customWidth="1"/>
    <col min="4" max="4" width="23.5" style="69" customWidth="1"/>
    <col min="5" max="5" width="21.875" style="1" customWidth="1"/>
    <col min="6" max="6" width="19.625" style="1" customWidth="1"/>
    <col min="7" max="16384" width="9.125" style="1"/>
  </cols>
  <sheetData>
    <row r="1" spans="1:24">
      <c r="C1" s="1" t="s">
        <v>332</v>
      </c>
    </row>
    <row r="2" spans="1:24">
      <c r="B2" s="244" t="s">
        <v>319</v>
      </c>
      <c r="C2" s="244"/>
      <c r="D2" s="244"/>
      <c r="E2" s="244"/>
      <c r="F2" s="244"/>
    </row>
    <row r="3" spans="1:24">
      <c r="B3" s="242"/>
      <c r="C3" s="242"/>
      <c r="D3" s="242"/>
      <c r="E3" s="242"/>
      <c r="F3" s="242"/>
      <c r="G3" s="68"/>
    </row>
    <row r="4" spans="1:24" ht="20.5">
      <c r="B4" s="43" t="s">
        <v>217</v>
      </c>
    </row>
    <row r="5" spans="1:24">
      <c r="F5" s="1" t="s">
        <v>81</v>
      </c>
    </row>
    <row r="6" spans="1:24" ht="59.3">
      <c r="B6" s="53" t="s">
        <v>0</v>
      </c>
      <c r="C6" s="47" t="s">
        <v>1</v>
      </c>
      <c r="D6" s="70" t="s">
        <v>62</v>
      </c>
      <c r="E6" s="54" t="s">
        <v>66</v>
      </c>
      <c r="F6" s="54" t="s">
        <v>69</v>
      </c>
      <c r="H6" s="3"/>
    </row>
    <row r="7" spans="1:24" ht="14.15">
      <c r="B7" s="47" t="s">
        <v>5</v>
      </c>
      <c r="C7" s="47" t="s">
        <v>6</v>
      </c>
      <c r="D7" s="70" t="s">
        <v>7</v>
      </c>
      <c r="E7" s="47" t="s">
        <v>8</v>
      </c>
      <c r="F7" s="47" t="s">
        <v>9</v>
      </c>
    </row>
    <row r="8" spans="1:24" ht="16.25">
      <c r="A8" s="1">
        <v>1</v>
      </c>
      <c r="B8" s="7" t="s">
        <v>80</v>
      </c>
      <c r="C8" s="55">
        <v>34304200</v>
      </c>
      <c r="D8" s="55">
        <v>34304200</v>
      </c>
      <c r="E8" s="56">
        <f>C8</f>
        <v>34304200</v>
      </c>
      <c r="F8" s="56">
        <f>D8</f>
        <v>34304200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16.25">
      <c r="A9" s="1">
        <v>2</v>
      </c>
      <c r="B9" s="7" t="s">
        <v>82</v>
      </c>
      <c r="C9" s="55">
        <v>27914110</v>
      </c>
      <c r="D9" s="55">
        <v>27914110</v>
      </c>
      <c r="E9" s="56">
        <f t="shared" ref="E9:E26" si="0">C9</f>
        <v>27914110</v>
      </c>
      <c r="F9" s="56">
        <f t="shared" ref="F9:F19" si="1">D9</f>
        <v>27914110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ht="16.25">
      <c r="A10" s="1">
        <v>3</v>
      </c>
      <c r="B10" s="7" t="s">
        <v>83</v>
      </c>
      <c r="C10" s="56">
        <v>1881838</v>
      </c>
      <c r="D10" s="56">
        <v>1881838</v>
      </c>
      <c r="E10" s="56">
        <f t="shared" si="0"/>
        <v>1881838</v>
      </c>
      <c r="F10" s="56">
        <f t="shared" si="1"/>
        <v>1881838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25">
      <c r="A11" s="1">
        <v>4</v>
      </c>
      <c r="B11" s="7" t="s">
        <v>87</v>
      </c>
      <c r="C11" s="55">
        <v>63563550</v>
      </c>
      <c r="D11" s="55">
        <v>63563550</v>
      </c>
      <c r="E11" s="56">
        <f>C11</f>
        <v>63563550</v>
      </c>
      <c r="F11" s="56">
        <f>D11</f>
        <v>63563550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25">
      <c r="A12" s="1">
        <v>5</v>
      </c>
      <c r="B12" s="7" t="s">
        <v>136</v>
      </c>
      <c r="C12" s="55">
        <v>66300</v>
      </c>
      <c r="D12" s="55">
        <v>66300</v>
      </c>
      <c r="E12" s="56">
        <f>C12</f>
        <v>66300</v>
      </c>
      <c r="F12" s="56">
        <f>D12</f>
        <v>66300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25">
      <c r="A13" s="1">
        <v>6</v>
      </c>
      <c r="B13" s="7" t="s">
        <v>218</v>
      </c>
      <c r="C13" s="55">
        <v>261900</v>
      </c>
      <c r="D13" s="55">
        <v>261900</v>
      </c>
      <c r="E13" s="56">
        <f t="shared" si="0"/>
        <v>261900</v>
      </c>
      <c r="F13" s="56">
        <f t="shared" si="1"/>
        <v>261900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1:24" ht="16.25">
      <c r="A14" s="1">
        <v>7</v>
      </c>
      <c r="B14" s="7" t="s">
        <v>286</v>
      </c>
      <c r="C14" s="55"/>
      <c r="D14" s="221">
        <v>1974000</v>
      </c>
      <c r="E14" s="56"/>
      <c r="F14" s="56">
        <f t="shared" si="1"/>
        <v>1974000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ht="16.25">
      <c r="A15" s="1">
        <v>8</v>
      </c>
      <c r="B15" s="7" t="s">
        <v>291</v>
      </c>
      <c r="C15" s="55"/>
      <c r="D15" s="223">
        <v>270435</v>
      </c>
      <c r="E15" s="56"/>
      <c r="F15" s="56">
        <f t="shared" si="1"/>
        <v>270435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33.549999999999997" customHeight="1">
      <c r="A16" s="1">
        <v>9</v>
      </c>
      <c r="B16" s="217" t="s">
        <v>134</v>
      </c>
      <c r="C16" s="218">
        <f>SUM(C8:C13)</f>
        <v>127991898</v>
      </c>
      <c r="D16" s="218">
        <f>SUM(D8:D15)</f>
        <v>130236333</v>
      </c>
      <c r="E16" s="218">
        <f t="shared" si="0"/>
        <v>127991898</v>
      </c>
      <c r="F16" s="218">
        <f t="shared" si="1"/>
        <v>130236333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25">
      <c r="A17" s="1">
        <v>10</v>
      </c>
      <c r="B17" s="7" t="s">
        <v>286</v>
      </c>
      <c r="C17" s="55"/>
      <c r="D17" s="221">
        <v>780000</v>
      </c>
      <c r="E17" s="56"/>
      <c r="F17" s="56">
        <f t="shared" si="1"/>
        <v>780000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1:24" ht="16.25">
      <c r="A18" s="1">
        <v>11</v>
      </c>
      <c r="B18" s="7" t="s">
        <v>288</v>
      </c>
      <c r="C18" s="56">
        <v>38544033</v>
      </c>
      <c r="D18" s="56">
        <v>39051846</v>
      </c>
      <c r="E18" s="56">
        <f t="shared" si="0"/>
        <v>38544033</v>
      </c>
      <c r="F18" s="56">
        <f t="shared" si="1"/>
        <v>39051846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25">
      <c r="A19" s="1">
        <v>12</v>
      </c>
      <c r="B19" s="7" t="s">
        <v>291</v>
      </c>
      <c r="C19" s="56"/>
      <c r="D19" s="224">
        <v>-388803</v>
      </c>
      <c r="E19" s="56"/>
      <c r="F19" s="56">
        <f t="shared" si="1"/>
        <v>-388803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9.65">
      <c r="A20" s="1">
        <v>13</v>
      </c>
      <c r="B20" s="217" t="s">
        <v>287</v>
      </c>
      <c r="C20" s="218">
        <f>SUM(C17:C18)</f>
        <v>38544033</v>
      </c>
      <c r="D20" s="218">
        <f>SUM(D17:D19)</f>
        <v>39443043</v>
      </c>
      <c r="E20" s="218">
        <f t="shared" ref="E20:F20" si="2">SUM(E17:E19)</f>
        <v>38544033</v>
      </c>
      <c r="F20" s="218">
        <f t="shared" si="2"/>
        <v>39443043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25">
      <c r="A21" s="1">
        <v>14</v>
      </c>
      <c r="B21" s="7" t="s">
        <v>135</v>
      </c>
      <c r="C21" s="56">
        <v>2269760</v>
      </c>
      <c r="D21" s="56">
        <v>2435840</v>
      </c>
      <c r="E21" s="56">
        <f t="shared" si="0"/>
        <v>2269760</v>
      </c>
      <c r="F21" s="56">
        <f t="shared" ref="F21:F34" si="3">D21</f>
        <v>2435840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6.25">
      <c r="A22" s="1">
        <v>15</v>
      </c>
      <c r="B22" s="7" t="s">
        <v>133</v>
      </c>
      <c r="C22" s="55">
        <v>8060000</v>
      </c>
      <c r="D22" s="55">
        <v>8060000</v>
      </c>
      <c r="E22" s="56">
        <f t="shared" si="0"/>
        <v>8060000</v>
      </c>
      <c r="F22" s="56">
        <f t="shared" si="3"/>
        <v>8060000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1:24" ht="28.25">
      <c r="A23" s="1">
        <v>16</v>
      </c>
      <c r="B23" s="7" t="s">
        <v>219</v>
      </c>
      <c r="C23" s="55">
        <f>3420000+5464348</f>
        <v>8884348</v>
      </c>
      <c r="D23" s="55">
        <v>9332495</v>
      </c>
      <c r="E23" s="56">
        <f t="shared" si="0"/>
        <v>8884348</v>
      </c>
      <c r="F23" s="56">
        <f t="shared" si="3"/>
        <v>9332495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1:24" ht="16.25">
      <c r="A24" s="1">
        <v>17</v>
      </c>
      <c r="B24" s="7" t="s">
        <v>286</v>
      </c>
      <c r="C24" s="55"/>
      <c r="D24" s="221">
        <v>360000</v>
      </c>
      <c r="E24" s="56"/>
      <c r="F24" s="56">
        <f t="shared" si="3"/>
        <v>360000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 ht="16.25">
      <c r="A25" s="1">
        <v>18</v>
      </c>
      <c r="B25" s="7" t="s">
        <v>203</v>
      </c>
      <c r="C25" s="55">
        <f>8838000+1496500</f>
        <v>10334500</v>
      </c>
      <c r="D25" s="55">
        <f>8838000+1496500</f>
        <v>10334500</v>
      </c>
      <c r="E25" s="56">
        <f t="shared" si="0"/>
        <v>10334500</v>
      </c>
      <c r="F25" s="56">
        <f t="shared" si="3"/>
        <v>10334500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1:24" ht="16.25">
      <c r="A26" s="1">
        <v>19</v>
      </c>
      <c r="B26" s="7" t="s">
        <v>220</v>
      </c>
      <c r="C26" s="55">
        <v>1849000</v>
      </c>
      <c r="D26" s="55">
        <v>2489000</v>
      </c>
      <c r="E26" s="56">
        <f t="shared" si="0"/>
        <v>1849000</v>
      </c>
      <c r="F26" s="56">
        <f t="shared" si="3"/>
        <v>2489000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ht="16.25">
      <c r="A27" s="1">
        <v>20</v>
      </c>
      <c r="B27" s="7" t="s">
        <v>286</v>
      </c>
      <c r="C27" s="55"/>
      <c r="D27" s="221">
        <v>410000</v>
      </c>
      <c r="E27" s="56"/>
      <c r="F27" s="56">
        <f t="shared" si="3"/>
        <v>410000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 ht="16.25">
      <c r="A28" s="1">
        <v>21</v>
      </c>
      <c r="B28" s="7" t="s">
        <v>291</v>
      </c>
      <c r="C28" s="55"/>
      <c r="D28" s="224">
        <v>-228000</v>
      </c>
      <c r="E28" s="56"/>
      <c r="F28" s="56">
        <f t="shared" si="3"/>
        <v>-228000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1:24" ht="29.65">
      <c r="A29" s="1">
        <v>22</v>
      </c>
      <c r="B29" s="217" t="s">
        <v>84</v>
      </c>
      <c r="C29" s="218">
        <f>SUM(C21:C26)</f>
        <v>31397608</v>
      </c>
      <c r="D29" s="218">
        <f>SUM(D21:D28)</f>
        <v>33193835</v>
      </c>
      <c r="E29" s="218">
        <f t="shared" ref="E29:F29" si="4">SUM(E21:E28)</f>
        <v>31397608</v>
      </c>
      <c r="F29" s="218">
        <f t="shared" si="4"/>
        <v>33193835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6.25">
      <c r="A30" s="1">
        <v>23</v>
      </c>
      <c r="B30" s="7" t="s">
        <v>85</v>
      </c>
      <c r="C30" s="56">
        <v>2243340</v>
      </c>
      <c r="D30" s="56">
        <v>2243340</v>
      </c>
      <c r="E30" s="56">
        <f>C30</f>
        <v>2243340</v>
      </c>
      <c r="F30" s="56">
        <f t="shared" si="3"/>
        <v>2243340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6.25">
      <c r="A31" s="1">
        <v>24</v>
      </c>
      <c r="B31" s="7" t="s">
        <v>286</v>
      </c>
      <c r="C31" s="56"/>
      <c r="D31" s="222">
        <v>76000</v>
      </c>
      <c r="E31" s="56"/>
      <c r="F31" s="56">
        <f t="shared" si="3"/>
        <v>76000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9.65">
      <c r="A32" s="1">
        <v>25</v>
      </c>
      <c r="B32" s="217" t="s">
        <v>86</v>
      </c>
      <c r="C32" s="218">
        <f>SUM(C30:C31)</f>
        <v>2243340</v>
      </c>
      <c r="D32" s="218">
        <f>SUM(D30:D31)</f>
        <v>2319340</v>
      </c>
      <c r="E32" s="218">
        <f>C32</f>
        <v>2243340</v>
      </c>
      <c r="F32" s="218">
        <f t="shared" si="3"/>
        <v>2319340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9.65">
      <c r="A33" s="1">
        <v>26</v>
      </c>
      <c r="B33" s="217" t="s">
        <v>289</v>
      </c>
      <c r="C33" s="218">
        <v>5992000</v>
      </c>
      <c r="D33" s="218">
        <v>20445600</v>
      </c>
      <c r="E33" s="218">
        <f>C33</f>
        <v>5992000</v>
      </c>
      <c r="F33" s="218">
        <f t="shared" si="3"/>
        <v>20445600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6.25">
      <c r="A34" s="1">
        <v>27</v>
      </c>
      <c r="B34" s="217" t="s">
        <v>290</v>
      </c>
      <c r="C34" s="218"/>
      <c r="D34" s="218">
        <v>76000</v>
      </c>
      <c r="E34" s="218"/>
      <c r="F34" s="218">
        <f t="shared" si="3"/>
        <v>76000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6.95">
      <c r="A35" s="1">
        <v>28</v>
      </c>
      <c r="B35" s="219" t="s">
        <v>137</v>
      </c>
      <c r="C35" s="220">
        <f>C16+C20+C29+C32+C33+C34</f>
        <v>206168879</v>
      </c>
      <c r="D35" s="220">
        <f>D16+D20+D29+D32+D33+D34</f>
        <v>225714151</v>
      </c>
      <c r="E35" s="220">
        <f t="shared" ref="E35:F35" si="5">E16+E20+E29+E32+E33+E34</f>
        <v>206168879</v>
      </c>
      <c r="F35" s="220">
        <f t="shared" si="5"/>
        <v>225714151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0"/>
      <c r="U35" s="60"/>
      <c r="V35" s="61"/>
      <c r="W35" s="61"/>
      <c r="X35" s="61"/>
    </row>
    <row r="36" spans="1:24">
      <c r="D36" s="1"/>
    </row>
    <row r="37" spans="1:24">
      <c r="F37" s="1" t="s">
        <v>315</v>
      </c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C1" sqref="C1"/>
    </sheetView>
  </sheetViews>
  <sheetFormatPr defaultColWidth="9.125" defaultRowHeight="12.7"/>
  <cols>
    <col min="1" max="1" width="9.125" style="1" customWidth="1"/>
    <col min="2" max="2" width="35.875" style="1" customWidth="1"/>
    <col min="3" max="3" width="17.375" style="1" customWidth="1"/>
    <col min="4" max="4" width="18" style="69" customWidth="1"/>
    <col min="5" max="5" width="19.875" style="1" customWidth="1"/>
    <col min="6" max="6" width="20" style="1" customWidth="1"/>
    <col min="7" max="7" width="37.5" style="76" customWidth="1"/>
    <col min="8" max="8" width="12.875" style="1" customWidth="1"/>
    <col min="9" max="9" width="13.5" style="1" customWidth="1"/>
    <col min="10" max="10" width="20.625" style="1" customWidth="1"/>
    <col min="11" max="11" width="18" style="1" customWidth="1"/>
    <col min="12" max="16384" width="9.125" style="1"/>
  </cols>
  <sheetData>
    <row r="1" spans="1:8">
      <c r="B1" s="3"/>
      <c r="C1" s="3" t="s">
        <v>333</v>
      </c>
      <c r="D1" s="72"/>
      <c r="E1" s="3"/>
      <c r="F1" s="3"/>
      <c r="G1" s="22"/>
      <c r="H1" s="3"/>
    </row>
    <row r="2" spans="1:8">
      <c r="B2" s="246" t="s">
        <v>320</v>
      </c>
      <c r="C2" s="246"/>
      <c r="D2" s="246"/>
      <c r="E2" s="246"/>
      <c r="F2" s="246"/>
      <c r="G2" s="22"/>
      <c r="H2" s="3"/>
    </row>
    <row r="3" spans="1:8">
      <c r="B3" s="242"/>
      <c r="C3" s="242"/>
      <c r="D3" s="242"/>
      <c r="E3" s="242"/>
      <c r="F3" s="242"/>
      <c r="G3" s="68"/>
      <c r="H3" s="68"/>
    </row>
    <row r="4" spans="1:8" ht="20.5">
      <c r="B4" s="43" t="s">
        <v>221</v>
      </c>
      <c r="C4" s="3"/>
      <c r="E4" s="3"/>
      <c r="F4" s="3"/>
      <c r="G4" s="22"/>
      <c r="H4" s="3"/>
    </row>
    <row r="5" spans="1:8">
      <c r="B5" s="3"/>
      <c r="C5" s="3"/>
      <c r="E5" s="3"/>
      <c r="F5" s="3" t="s">
        <v>81</v>
      </c>
      <c r="G5" s="22"/>
      <c r="H5" s="3"/>
    </row>
    <row r="6" spans="1:8" ht="25.45">
      <c r="B6" s="73" t="s">
        <v>0</v>
      </c>
      <c r="C6" s="74" t="s">
        <v>90</v>
      </c>
      <c r="D6" s="75" t="s">
        <v>91</v>
      </c>
      <c r="E6" s="74" t="s">
        <v>92</v>
      </c>
      <c r="F6" s="74" t="s">
        <v>93</v>
      </c>
    </row>
    <row r="7" spans="1:8">
      <c r="B7" s="77" t="s">
        <v>5</v>
      </c>
      <c r="C7" s="77" t="s">
        <v>6</v>
      </c>
      <c r="D7" s="78" t="s">
        <v>7</v>
      </c>
      <c r="E7" s="77" t="s">
        <v>8</v>
      </c>
      <c r="F7" s="77" t="s">
        <v>9</v>
      </c>
    </row>
    <row r="8" spans="1:8" ht="50.3" customHeight="1">
      <c r="A8" s="1">
        <v>1</v>
      </c>
      <c r="B8" s="205" t="s">
        <v>222</v>
      </c>
      <c r="C8" s="80">
        <v>750000000</v>
      </c>
      <c r="D8" s="81">
        <v>750000000</v>
      </c>
      <c r="E8" s="80">
        <f>D8-C8</f>
        <v>0</v>
      </c>
      <c r="F8" s="82" t="s">
        <v>292</v>
      </c>
    </row>
    <row r="9" spans="1:8" ht="50.3" customHeight="1">
      <c r="A9" s="1">
        <v>2</v>
      </c>
      <c r="B9" s="205" t="s">
        <v>223</v>
      </c>
      <c r="C9" s="80">
        <v>254590000</v>
      </c>
      <c r="D9" s="81">
        <v>304590000</v>
      </c>
      <c r="E9" s="80">
        <f>D9-C9</f>
        <v>50000000</v>
      </c>
      <c r="F9" s="82"/>
    </row>
    <row r="10" spans="1:8">
      <c r="A10" s="1">
        <v>3</v>
      </c>
      <c r="B10" s="79" t="s">
        <v>89</v>
      </c>
      <c r="C10" s="83">
        <f>SUM(C8:C9)</f>
        <v>1004590000</v>
      </c>
      <c r="D10" s="83">
        <f t="shared" ref="D10:E10" si="0">SUM(D8:D9)</f>
        <v>1054590000</v>
      </c>
      <c r="E10" s="83">
        <f t="shared" si="0"/>
        <v>50000000</v>
      </c>
      <c r="F10" s="83"/>
    </row>
    <row r="11" spans="1:8">
      <c r="F11" s="1" t="s">
        <v>315</v>
      </c>
    </row>
    <row r="12" spans="1:8">
      <c r="C12" s="76"/>
      <c r="E12" s="84"/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60" zoomScaleNormal="75" workbookViewId="0">
      <selection activeCell="E1" sqref="E1"/>
    </sheetView>
  </sheetViews>
  <sheetFormatPr defaultColWidth="9.125" defaultRowHeight="12.7"/>
  <cols>
    <col min="1" max="1" width="3.625" style="1" customWidth="1"/>
    <col min="2" max="2" width="73.125" style="1" customWidth="1"/>
    <col min="3" max="4" width="17.875" style="1" customWidth="1"/>
    <col min="5" max="8" width="21.375" style="1" customWidth="1"/>
    <col min="9" max="16384" width="9.125" style="1"/>
  </cols>
  <sheetData>
    <row r="1" spans="1:24">
      <c r="E1" s="1" t="s">
        <v>335</v>
      </c>
    </row>
    <row r="2" spans="1:24">
      <c r="B2" s="244" t="s">
        <v>322</v>
      </c>
      <c r="C2" s="244"/>
      <c r="D2" s="244"/>
      <c r="E2" s="244"/>
      <c r="F2" s="244"/>
      <c r="G2" s="244"/>
      <c r="H2" s="244"/>
    </row>
    <row r="3" spans="1:24">
      <c r="B3" s="42"/>
      <c r="C3" s="42"/>
      <c r="D3" s="244"/>
      <c r="E3" s="244"/>
      <c r="F3" s="244"/>
      <c r="G3" s="244"/>
      <c r="H3" s="244"/>
    </row>
    <row r="4" spans="1:24" ht="20.5">
      <c r="B4" s="43" t="s">
        <v>237</v>
      </c>
    </row>
    <row r="5" spans="1:24" ht="20.5">
      <c r="B5" s="43"/>
      <c r="G5" s="1" t="s">
        <v>81</v>
      </c>
    </row>
    <row r="6" spans="1:24" ht="59.3">
      <c r="B6" s="53" t="s">
        <v>0</v>
      </c>
      <c r="C6" s="47" t="s">
        <v>1</v>
      </c>
      <c r="D6" s="47" t="s">
        <v>62</v>
      </c>
      <c r="E6" s="54" t="s">
        <v>66</v>
      </c>
      <c r="F6" s="54" t="s">
        <v>67</v>
      </c>
      <c r="G6" s="54" t="s">
        <v>69</v>
      </c>
      <c r="H6" s="54" t="s">
        <v>70</v>
      </c>
      <c r="J6" s="3"/>
    </row>
    <row r="7" spans="1:24" ht="14.15">
      <c r="B7" s="47" t="s">
        <v>5</v>
      </c>
      <c r="C7" s="47" t="s">
        <v>6</v>
      </c>
      <c r="D7" s="47" t="s">
        <v>7</v>
      </c>
      <c r="E7" s="47" t="s">
        <v>8</v>
      </c>
      <c r="F7" s="47" t="s">
        <v>76</v>
      </c>
      <c r="G7" s="47" t="s">
        <v>10</v>
      </c>
      <c r="H7" s="47" t="s">
        <v>11</v>
      </c>
    </row>
    <row r="8" spans="1:24" ht="16.25">
      <c r="A8" s="1">
        <v>1</v>
      </c>
      <c r="B8" s="7" t="s">
        <v>140</v>
      </c>
      <c r="C8" s="56">
        <v>21692476</v>
      </c>
      <c r="D8" s="56">
        <v>23028157</v>
      </c>
      <c r="E8" s="58"/>
      <c r="F8" s="56">
        <f>C8</f>
        <v>21692476</v>
      </c>
      <c r="G8" s="56"/>
      <c r="H8" s="56">
        <f>D8</f>
        <v>23028157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25">
      <c r="A9" s="1">
        <v>2</v>
      </c>
      <c r="B9" s="7" t="s">
        <v>141</v>
      </c>
      <c r="C9" s="56">
        <v>1800000</v>
      </c>
      <c r="D9" s="56">
        <v>1800000</v>
      </c>
      <c r="E9" s="58"/>
      <c r="F9" s="56">
        <f>C9</f>
        <v>1800000</v>
      </c>
      <c r="G9" s="56"/>
      <c r="H9" s="56">
        <f>D9</f>
        <v>1800000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25">
      <c r="A10" s="1">
        <v>3</v>
      </c>
      <c r="B10" s="7" t="s">
        <v>142</v>
      </c>
      <c r="C10" s="56">
        <f>33000000+7500000+24000000+1500000</f>
        <v>66000000</v>
      </c>
      <c r="D10" s="56">
        <v>48120169</v>
      </c>
      <c r="E10" s="58"/>
      <c r="F10" s="56">
        <f>C10</f>
        <v>66000000</v>
      </c>
      <c r="G10" s="56"/>
      <c r="H10" s="56">
        <f>D10</f>
        <v>48120169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25">
      <c r="A11" s="1">
        <v>4</v>
      </c>
      <c r="B11" s="7" t="s">
        <v>143</v>
      </c>
      <c r="C11" s="56"/>
      <c r="D11" s="56">
        <v>50000</v>
      </c>
      <c r="E11" s="58"/>
      <c r="F11" s="56">
        <f>C11</f>
        <v>0</v>
      </c>
      <c r="G11" s="56"/>
      <c r="H11" s="56">
        <f>D11</f>
        <v>50000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8.25">
      <c r="A12" s="1">
        <v>5</v>
      </c>
      <c r="B12" s="7" t="s">
        <v>302</v>
      </c>
      <c r="C12" s="56"/>
      <c r="D12" s="56">
        <v>12658200</v>
      </c>
      <c r="E12" s="58"/>
      <c r="F12" s="56">
        <f>C12</f>
        <v>0</v>
      </c>
      <c r="G12" s="56"/>
      <c r="H12" s="56">
        <f>D12</f>
        <v>12658200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2.299999999999997" customHeight="1">
      <c r="A13" s="1">
        <v>6</v>
      </c>
      <c r="B13" s="50" t="s">
        <v>102</v>
      </c>
      <c r="C13" s="58">
        <f t="shared" ref="C13:H13" si="0">SUM(C8:C12)</f>
        <v>89492476</v>
      </c>
      <c r="D13" s="58">
        <f t="shared" ref="D13" si="1">SUM(D8:D12)</f>
        <v>85656526</v>
      </c>
      <c r="E13" s="58">
        <f t="shared" si="0"/>
        <v>0</v>
      </c>
      <c r="F13" s="58">
        <f t="shared" si="0"/>
        <v>89492476</v>
      </c>
      <c r="G13" s="58">
        <f t="shared" si="0"/>
        <v>0</v>
      </c>
      <c r="H13" s="58">
        <f t="shared" si="0"/>
        <v>85656526</v>
      </c>
      <c r="I13" s="59"/>
      <c r="J13" s="59"/>
      <c r="K13" s="59"/>
      <c r="L13" s="59"/>
      <c r="M13" s="59"/>
      <c r="N13" s="59"/>
      <c r="O13" s="59"/>
      <c r="P13" s="59"/>
      <c r="Q13" s="114"/>
      <c r="R13" s="60"/>
      <c r="S13" s="60"/>
      <c r="T13" s="60"/>
      <c r="U13" s="60"/>
      <c r="V13" s="60"/>
      <c r="W13" s="60"/>
      <c r="X13" s="60"/>
    </row>
    <row r="14" spans="1:24" ht="32.299999999999997" customHeight="1">
      <c r="B14" s="115"/>
      <c r="C14" s="71"/>
      <c r="D14" s="71"/>
      <c r="E14" s="71"/>
      <c r="F14" s="71"/>
      <c r="G14" s="71"/>
      <c r="H14" s="71"/>
      <c r="I14" s="59"/>
      <c r="J14" s="59"/>
      <c r="K14" s="59"/>
      <c r="L14" s="59"/>
      <c r="M14" s="59"/>
      <c r="N14" s="59"/>
      <c r="O14" s="59"/>
      <c r="P14" s="59"/>
      <c r="Q14" s="114"/>
      <c r="R14" s="60"/>
      <c r="S14" s="60"/>
      <c r="T14" s="60"/>
      <c r="U14" s="60"/>
      <c r="V14" s="60"/>
      <c r="W14" s="60"/>
      <c r="X14" s="60"/>
    </row>
    <row r="15" spans="1:24" ht="59.3">
      <c r="B15" s="53" t="s">
        <v>0</v>
      </c>
      <c r="C15" s="47" t="s">
        <v>1</v>
      </c>
      <c r="D15" s="47" t="s">
        <v>62</v>
      </c>
      <c r="E15" s="54" t="s">
        <v>66</v>
      </c>
      <c r="F15" s="54" t="s">
        <v>67</v>
      </c>
      <c r="G15" s="54" t="s">
        <v>69</v>
      </c>
      <c r="H15" s="54" t="s">
        <v>70</v>
      </c>
    </row>
    <row r="16" spans="1:24" ht="14.15">
      <c r="B16" s="53" t="s">
        <v>5</v>
      </c>
      <c r="C16" s="47" t="s">
        <v>6</v>
      </c>
      <c r="D16" s="47" t="s">
        <v>7</v>
      </c>
      <c r="E16" s="47" t="s">
        <v>8</v>
      </c>
      <c r="F16" s="47" t="s">
        <v>76</v>
      </c>
      <c r="G16" s="47" t="s">
        <v>10</v>
      </c>
      <c r="H16" s="47" t="s">
        <v>11</v>
      </c>
    </row>
    <row r="17" spans="1:24" ht="16.25">
      <c r="A17" s="1">
        <v>1</v>
      </c>
      <c r="B17" s="7" t="s">
        <v>144</v>
      </c>
      <c r="C17" s="56"/>
      <c r="D17" s="56"/>
      <c r="E17" s="58"/>
      <c r="F17" s="56">
        <f>C17</f>
        <v>0</v>
      </c>
      <c r="G17" s="56"/>
      <c r="H17" s="56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25">
      <c r="A18" s="1">
        <v>2</v>
      </c>
      <c r="B18" s="7" t="s">
        <v>145</v>
      </c>
      <c r="C18" s="56"/>
      <c r="D18" s="56"/>
      <c r="E18" s="58"/>
      <c r="F18" s="56">
        <f>C18</f>
        <v>0</v>
      </c>
      <c r="G18" s="56"/>
      <c r="H18" s="56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25">
      <c r="A19" s="1">
        <v>3</v>
      </c>
      <c r="B19" s="7" t="s">
        <v>146</v>
      </c>
      <c r="C19" s="56"/>
      <c r="D19" s="56"/>
      <c r="E19" s="58"/>
      <c r="F19" s="56">
        <f>C19</f>
        <v>0</v>
      </c>
      <c r="G19" s="56"/>
      <c r="H19" s="56">
        <f>D19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25">
      <c r="A20" s="1">
        <v>4</v>
      </c>
      <c r="B20" s="7" t="s">
        <v>147</v>
      </c>
      <c r="C20" s="56"/>
      <c r="D20" s="56"/>
      <c r="E20" s="58"/>
      <c r="F20" s="56">
        <f>C20</f>
        <v>0</v>
      </c>
      <c r="G20" s="56"/>
      <c r="H20" s="56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25">
      <c r="A21" s="1">
        <v>5</v>
      </c>
      <c r="B21" s="7" t="s">
        <v>251</v>
      </c>
      <c r="C21" s="56"/>
      <c r="D21" s="56"/>
      <c r="E21" s="58"/>
      <c r="F21" s="56">
        <f>C21</f>
        <v>0</v>
      </c>
      <c r="G21" s="56"/>
      <c r="H21" s="56">
        <f>D21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3" customHeight="1">
      <c r="A22" s="1">
        <v>6</v>
      </c>
      <c r="B22" s="50" t="s">
        <v>103</v>
      </c>
      <c r="C22" s="58">
        <f t="shared" ref="C22:H22" si="2">SUM(C17:C21)</f>
        <v>0</v>
      </c>
      <c r="D22" s="58">
        <f t="shared" si="2"/>
        <v>0</v>
      </c>
      <c r="E22" s="58">
        <f t="shared" si="2"/>
        <v>0</v>
      </c>
      <c r="F22" s="58">
        <f t="shared" si="2"/>
        <v>0</v>
      </c>
      <c r="G22" s="58">
        <f t="shared" si="2"/>
        <v>0</v>
      </c>
      <c r="H22" s="58">
        <f t="shared" si="2"/>
        <v>0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16"/>
      <c r="T22" s="116"/>
      <c r="U22" s="116"/>
      <c r="V22" s="116"/>
      <c r="W22" s="116"/>
      <c r="X22" s="116"/>
    </row>
    <row r="23" spans="1:24" ht="14.15">
      <c r="B23" s="117"/>
      <c r="H23" s="1" t="s">
        <v>315</v>
      </c>
    </row>
    <row r="24" spans="1:24" ht="14.15">
      <c r="B24" s="117"/>
    </row>
    <row r="25" spans="1:24" ht="14.15">
      <c r="B25" s="117"/>
    </row>
    <row r="26" spans="1:24" ht="14.15">
      <c r="B26" s="117"/>
    </row>
    <row r="27" spans="1:24" ht="14.15">
      <c r="B27" s="117"/>
    </row>
    <row r="28" spans="1:24" ht="14.15">
      <c r="B28" s="117"/>
    </row>
    <row r="29" spans="1:24" ht="14.15">
      <c r="B29" s="117"/>
    </row>
    <row r="30" spans="1:24" ht="14.15">
      <c r="B30" s="117"/>
    </row>
    <row r="31" spans="1:24" ht="14.15">
      <c r="B31" s="117"/>
    </row>
    <row r="32" spans="1:24" ht="14.15">
      <c r="B32" s="117"/>
    </row>
    <row r="33" spans="2:2" ht="14.15">
      <c r="B33" s="117"/>
    </row>
    <row r="34" spans="2:2" ht="14.15">
      <c r="B34" s="117"/>
    </row>
    <row r="35" spans="2:2" ht="14.15">
      <c r="B35" s="117"/>
    </row>
  </sheetData>
  <mergeCells count="2">
    <mergeCell ref="B2:H2"/>
    <mergeCell ref="D3:H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3"/>
  <sheetViews>
    <sheetView view="pageBreakPreview" zoomScale="60" zoomScaleNormal="60" workbookViewId="0">
      <selection activeCell="J1" sqref="J1"/>
    </sheetView>
  </sheetViews>
  <sheetFormatPr defaultColWidth="9.125" defaultRowHeight="12.7"/>
  <cols>
    <col min="1" max="1" width="9.125" style="1" customWidth="1"/>
    <col min="2" max="2" width="45.5" style="1" customWidth="1"/>
    <col min="3" max="3" width="22.125" style="85" customWidth="1"/>
    <col min="4" max="4" width="22.5" style="85" customWidth="1"/>
    <col min="5" max="5" width="14.375" style="85" customWidth="1"/>
    <col min="6" max="6" width="19.5" style="85" customWidth="1"/>
    <col min="7" max="7" width="13.5" style="85" customWidth="1"/>
    <col min="8" max="8" width="18.625" style="85" customWidth="1"/>
    <col min="9" max="9" width="21.375" style="85" customWidth="1"/>
    <col min="10" max="10" width="21.625" style="85" customWidth="1"/>
    <col min="11" max="11" width="22.5" style="85" customWidth="1"/>
    <col min="12" max="12" width="18.125" style="85" customWidth="1"/>
    <col min="13" max="13" width="21.5" style="85" customWidth="1"/>
    <col min="14" max="14" width="18.125" style="85" customWidth="1"/>
    <col min="15" max="16384" width="9.125" style="1"/>
  </cols>
  <sheetData>
    <row r="1" spans="1:16">
      <c r="J1" s="85" t="s">
        <v>334</v>
      </c>
    </row>
    <row r="2" spans="1:16">
      <c r="B2" s="246" t="s">
        <v>321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6" ht="20.5">
      <c r="B3" s="43" t="s">
        <v>236</v>
      </c>
      <c r="J3" s="244"/>
      <c r="K3" s="244"/>
      <c r="L3" s="244"/>
      <c r="M3" s="244"/>
      <c r="N3" s="244"/>
    </row>
    <row r="5" spans="1:16">
      <c r="B5" s="16" t="s">
        <v>94</v>
      </c>
      <c r="M5" s="1" t="s">
        <v>81</v>
      </c>
    </row>
    <row r="6" spans="1:16" ht="59.3">
      <c r="B6" s="86" t="s">
        <v>0</v>
      </c>
      <c r="C6" s="47" t="s">
        <v>1</v>
      </c>
      <c r="D6" s="47" t="s">
        <v>74</v>
      </c>
      <c r="E6" s="47" t="s">
        <v>2</v>
      </c>
      <c r="F6" s="47" t="s">
        <v>100</v>
      </c>
      <c r="G6" s="47" t="s">
        <v>68</v>
      </c>
      <c r="H6" s="47" t="s">
        <v>101</v>
      </c>
      <c r="I6" s="54" t="s">
        <v>3</v>
      </c>
      <c r="J6" s="54" t="s">
        <v>4</v>
      </c>
      <c r="K6" s="54" t="s">
        <v>66</v>
      </c>
      <c r="L6" s="54" t="s">
        <v>67</v>
      </c>
      <c r="M6" s="54" t="s">
        <v>69</v>
      </c>
      <c r="N6" s="54" t="s">
        <v>70</v>
      </c>
      <c r="P6" s="3"/>
    </row>
    <row r="7" spans="1:16" ht="15.55">
      <c r="B7" s="87" t="s">
        <v>5</v>
      </c>
      <c r="C7" s="87" t="s">
        <v>6</v>
      </c>
      <c r="D7" s="87" t="s">
        <v>7</v>
      </c>
      <c r="E7" s="87" t="s">
        <v>8</v>
      </c>
      <c r="F7" s="87" t="s">
        <v>9</v>
      </c>
      <c r="G7" s="87" t="s">
        <v>10</v>
      </c>
      <c r="H7" s="87" t="s">
        <v>11</v>
      </c>
      <c r="I7" s="87" t="s">
        <v>12</v>
      </c>
      <c r="J7" s="87" t="s">
        <v>13</v>
      </c>
      <c r="K7" s="87" t="s">
        <v>14</v>
      </c>
      <c r="L7" s="87" t="s">
        <v>15</v>
      </c>
      <c r="M7" s="87" t="s">
        <v>16</v>
      </c>
      <c r="N7" s="87" t="s">
        <v>198</v>
      </c>
    </row>
    <row r="8" spans="1:16" ht="18.350000000000001">
      <c r="A8" s="1">
        <v>1</v>
      </c>
      <c r="B8" s="196" t="s">
        <v>204</v>
      </c>
      <c r="C8" s="195">
        <v>5800000</v>
      </c>
      <c r="D8" s="195">
        <v>2610000</v>
      </c>
      <c r="E8" s="112"/>
      <c r="F8" s="112"/>
      <c r="G8" s="112"/>
      <c r="H8" s="112"/>
      <c r="I8" s="112">
        <f>C8+E8+G8</f>
        <v>5800000</v>
      </c>
      <c r="J8" s="112">
        <f>D8+F8+H8</f>
        <v>2610000</v>
      </c>
      <c r="K8" s="112">
        <f>C8+E8+G8</f>
        <v>5800000</v>
      </c>
      <c r="L8" s="112"/>
      <c r="M8" s="112">
        <f>D8+F8+H8</f>
        <v>2610000</v>
      </c>
      <c r="N8" s="112"/>
    </row>
    <row r="9" spans="1:16" ht="18.350000000000001">
      <c r="A9" s="1">
        <v>2</v>
      </c>
      <c r="B9" s="196" t="s">
        <v>226</v>
      </c>
      <c r="C9" s="195">
        <v>282677000</v>
      </c>
      <c r="D9" s="195">
        <v>30257627</v>
      </c>
      <c r="E9" s="112"/>
      <c r="F9" s="112"/>
      <c r="G9" s="112"/>
      <c r="H9" s="112"/>
      <c r="I9" s="112">
        <f t="shared" ref="I9:I48" si="0">C9+E9+G9</f>
        <v>282677000</v>
      </c>
      <c r="J9" s="112">
        <f t="shared" ref="J9:J48" si="1">D9+F9+H9</f>
        <v>30257627</v>
      </c>
      <c r="K9" s="112">
        <f t="shared" ref="K9:K48" si="2">C9+E9+G9</f>
        <v>282677000</v>
      </c>
      <c r="L9" s="112"/>
      <c r="M9" s="112">
        <f t="shared" ref="M9:M48" si="3">D9+F9+H9</f>
        <v>30257627</v>
      </c>
      <c r="N9" s="112"/>
    </row>
    <row r="10" spans="1:16" ht="55.1">
      <c r="A10" s="1">
        <v>3</v>
      </c>
      <c r="B10" s="196" t="s">
        <v>224</v>
      </c>
      <c r="C10" s="195">
        <f>(254000000+50000000-84000000)/1.27</f>
        <v>173228346.4566929</v>
      </c>
      <c r="D10" s="195">
        <v>15936924</v>
      </c>
      <c r="E10" s="112"/>
      <c r="F10" s="112"/>
      <c r="G10" s="112"/>
      <c r="H10" s="112"/>
      <c r="I10" s="112">
        <f t="shared" si="0"/>
        <v>173228346.4566929</v>
      </c>
      <c r="J10" s="112">
        <f t="shared" si="1"/>
        <v>15936924</v>
      </c>
      <c r="K10" s="112">
        <f t="shared" si="2"/>
        <v>173228346.4566929</v>
      </c>
      <c r="L10" s="112"/>
      <c r="M10" s="112">
        <f t="shared" si="3"/>
        <v>15936924</v>
      </c>
      <c r="N10" s="112"/>
    </row>
    <row r="11" spans="1:16" ht="36.700000000000003" customHeight="1">
      <c r="A11" s="1">
        <v>4</v>
      </c>
      <c r="B11" s="196" t="s">
        <v>225</v>
      </c>
      <c r="C11" s="195">
        <v>55118110</v>
      </c>
      <c r="D11" s="195">
        <v>114749306</v>
      </c>
      <c r="E11" s="112"/>
      <c r="F11" s="112"/>
      <c r="G11" s="112"/>
      <c r="H11" s="112"/>
      <c r="I11" s="112">
        <f t="shared" si="0"/>
        <v>55118110</v>
      </c>
      <c r="J11" s="112">
        <f t="shared" si="1"/>
        <v>114749306</v>
      </c>
      <c r="K11" s="112">
        <f t="shared" si="2"/>
        <v>55118110</v>
      </c>
      <c r="L11" s="112"/>
      <c r="M11" s="112">
        <f t="shared" si="3"/>
        <v>114749306</v>
      </c>
      <c r="N11" s="112"/>
    </row>
    <row r="12" spans="1:16" ht="36.700000000000003" customHeight="1">
      <c r="A12" s="1">
        <v>5</v>
      </c>
      <c r="B12" s="196" t="s">
        <v>248</v>
      </c>
      <c r="C12" s="195">
        <v>23622047</v>
      </c>
      <c r="D12" s="195">
        <v>29323695</v>
      </c>
      <c r="E12" s="112"/>
      <c r="F12" s="112"/>
      <c r="G12" s="112"/>
      <c r="H12" s="112"/>
      <c r="I12" s="112">
        <f t="shared" si="0"/>
        <v>23622047</v>
      </c>
      <c r="J12" s="112">
        <f t="shared" si="1"/>
        <v>29323695</v>
      </c>
      <c r="K12" s="112">
        <f t="shared" si="2"/>
        <v>23622047</v>
      </c>
      <c r="L12" s="112"/>
      <c r="M12" s="112">
        <f t="shared" si="3"/>
        <v>29323695</v>
      </c>
      <c r="N12" s="112"/>
    </row>
    <row r="13" spans="1:16" ht="36.700000000000003" customHeight="1">
      <c r="A13" s="1">
        <v>6</v>
      </c>
      <c r="B13" s="196" t="s">
        <v>232</v>
      </c>
      <c r="C13" s="195">
        <f>8200000/1.27</f>
        <v>6456692.9133858271</v>
      </c>
      <c r="D13" s="195">
        <v>6573510</v>
      </c>
      <c r="E13" s="112"/>
      <c r="F13" s="112"/>
      <c r="G13" s="112"/>
      <c r="H13" s="112"/>
      <c r="I13" s="112">
        <f t="shared" si="0"/>
        <v>6456692.9133858271</v>
      </c>
      <c r="J13" s="112">
        <f t="shared" si="1"/>
        <v>6573510</v>
      </c>
      <c r="K13" s="112">
        <f t="shared" si="2"/>
        <v>6456692.9133858271</v>
      </c>
      <c r="L13" s="112"/>
      <c r="M13" s="112">
        <f t="shared" si="3"/>
        <v>6573510</v>
      </c>
      <c r="N13" s="112"/>
    </row>
    <row r="14" spans="1:16" ht="36.700000000000003" customHeight="1">
      <c r="A14" s="1">
        <v>7</v>
      </c>
      <c r="B14" s="196" t="s">
        <v>234</v>
      </c>
      <c r="C14" s="195">
        <v>6000000</v>
      </c>
      <c r="D14" s="195">
        <v>0</v>
      </c>
      <c r="E14" s="112"/>
      <c r="F14" s="112"/>
      <c r="G14" s="112"/>
      <c r="H14" s="112"/>
      <c r="I14" s="112">
        <f t="shared" si="0"/>
        <v>6000000</v>
      </c>
      <c r="J14" s="112">
        <f t="shared" si="1"/>
        <v>0</v>
      </c>
      <c r="K14" s="112">
        <f t="shared" si="2"/>
        <v>6000000</v>
      </c>
      <c r="L14" s="112"/>
      <c r="M14" s="112">
        <f t="shared" si="3"/>
        <v>0</v>
      </c>
      <c r="N14" s="112"/>
    </row>
    <row r="15" spans="1:16" ht="36.700000000000003" customHeight="1">
      <c r="A15" s="1">
        <v>8</v>
      </c>
      <c r="B15" s="194" t="s">
        <v>227</v>
      </c>
      <c r="C15" s="195">
        <v>30000000</v>
      </c>
      <c r="D15" s="195">
        <v>14600000</v>
      </c>
      <c r="E15" s="112"/>
      <c r="F15" s="112"/>
      <c r="G15" s="112"/>
      <c r="H15" s="112"/>
      <c r="I15" s="112">
        <f t="shared" si="0"/>
        <v>30000000</v>
      </c>
      <c r="J15" s="112">
        <f t="shared" si="1"/>
        <v>14600000</v>
      </c>
      <c r="K15" s="112">
        <f t="shared" si="2"/>
        <v>30000000</v>
      </c>
      <c r="L15" s="112"/>
      <c r="M15" s="112">
        <f t="shared" si="3"/>
        <v>14600000</v>
      </c>
      <c r="N15" s="112"/>
    </row>
    <row r="16" spans="1:16" ht="36.700000000000003" customHeight="1">
      <c r="A16" s="1">
        <v>9</v>
      </c>
      <c r="B16" s="194" t="s">
        <v>249</v>
      </c>
      <c r="C16" s="195">
        <v>3500000</v>
      </c>
      <c r="D16" s="195">
        <v>2866781</v>
      </c>
      <c r="E16" s="112"/>
      <c r="F16" s="112"/>
      <c r="G16" s="112"/>
      <c r="H16" s="112"/>
      <c r="I16" s="112">
        <f t="shared" si="0"/>
        <v>3500000</v>
      </c>
      <c r="J16" s="112">
        <f t="shared" si="1"/>
        <v>2866781</v>
      </c>
      <c r="K16" s="112">
        <f t="shared" si="2"/>
        <v>3500000</v>
      </c>
      <c r="L16" s="112"/>
      <c r="M16" s="112">
        <f t="shared" si="3"/>
        <v>2866781</v>
      </c>
      <c r="N16" s="112"/>
    </row>
    <row r="17" spans="1:14" ht="36.700000000000003" customHeight="1">
      <c r="A17" s="1">
        <v>10</v>
      </c>
      <c r="B17" s="196" t="s">
        <v>228</v>
      </c>
      <c r="C17" s="195">
        <f>21000000/1.27</f>
        <v>16535433.070866141</v>
      </c>
      <c r="D17" s="195">
        <v>20686843</v>
      </c>
      <c r="E17" s="112"/>
      <c r="F17" s="112"/>
      <c r="G17" s="112"/>
      <c r="H17" s="112"/>
      <c r="I17" s="112">
        <f t="shared" si="0"/>
        <v>16535433.070866141</v>
      </c>
      <c r="J17" s="112">
        <f t="shared" si="1"/>
        <v>20686843</v>
      </c>
      <c r="K17" s="112">
        <f t="shared" si="2"/>
        <v>16535433.070866141</v>
      </c>
      <c r="L17" s="112"/>
      <c r="M17" s="112">
        <f t="shared" si="3"/>
        <v>20686843</v>
      </c>
      <c r="N17" s="112"/>
    </row>
    <row r="18" spans="1:14" ht="36.700000000000003" customHeight="1">
      <c r="A18" s="1">
        <v>11</v>
      </c>
      <c r="B18" s="194" t="s">
        <v>229</v>
      </c>
      <c r="C18" s="195">
        <f>17650000/1.27</f>
        <v>13897637.795275589</v>
      </c>
      <c r="D18" s="195">
        <v>13904706</v>
      </c>
      <c r="E18" s="112"/>
      <c r="F18" s="112"/>
      <c r="G18" s="112"/>
      <c r="H18" s="112"/>
      <c r="I18" s="112">
        <f t="shared" si="0"/>
        <v>13897637.795275589</v>
      </c>
      <c r="J18" s="112">
        <f t="shared" si="1"/>
        <v>13904706</v>
      </c>
      <c r="K18" s="112">
        <f t="shared" si="2"/>
        <v>13897637.795275589</v>
      </c>
      <c r="L18" s="112"/>
      <c r="M18" s="112">
        <f t="shared" si="3"/>
        <v>13904706</v>
      </c>
      <c r="N18" s="112"/>
    </row>
    <row r="19" spans="1:14" ht="36.700000000000003" customHeight="1">
      <c r="A19" s="1">
        <v>12</v>
      </c>
      <c r="B19" s="194" t="s">
        <v>230</v>
      </c>
      <c r="C19" s="195">
        <f>7600000/1.27</f>
        <v>5984251.9685039371</v>
      </c>
      <c r="D19" s="195">
        <v>5984641</v>
      </c>
      <c r="E19" s="112"/>
      <c r="F19" s="112"/>
      <c r="G19" s="112"/>
      <c r="H19" s="112"/>
      <c r="I19" s="112">
        <f t="shared" si="0"/>
        <v>5984251.9685039371</v>
      </c>
      <c r="J19" s="112">
        <f t="shared" si="1"/>
        <v>5984641</v>
      </c>
      <c r="K19" s="112">
        <f t="shared" si="2"/>
        <v>5984251.9685039371</v>
      </c>
      <c r="L19" s="112"/>
      <c r="M19" s="112">
        <f t="shared" si="3"/>
        <v>5984641</v>
      </c>
      <c r="N19" s="112"/>
    </row>
    <row r="20" spans="1:14" ht="36.700000000000003" customHeight="1">
      <c r="A20" s="1">
        <v>13</v>
      </c>
      <c r="B20" s="194" t="s">
        <v>231</v>
      </c>
      <c r="C20" s="195">
        <f>13100000/1.27</f>
        <v>10314960.629921259</v>
      </c>
      <c r="D20" s="195">
        <v>9820000</v>
      </c>
      <c r="E20" s="112"/>
      <c r="F20" s="112"/>
      <c r="G20" s="112"/>
      <c r="H20" s="112"/>
      <c r="I20" s="112">
        <f t="shared" si="0"/>
        <v>10314960.629921259</v>
      </c>
      <c r="J20" s="112">
        <f t="shared" si="1"/>
        <v>9820000</v>
      </c>
      <c r="K20" s="112">
        <f t="shared" si="2"/>
        <v>10314960.629921259</v>
      </c>
      <c r="L20" s="112"/>
      <c r="M20" s="112">
        <f t="shared" si="3"/>
        <v>9820000</v>
      </c>
      <c r="N20" s="112"/>
    </row>
    <row r="21" spans="1:14" ht="18.350000000000001">
      <c r="A21" s="1">
        <v>14</v>
      </c>
      <c r="B21" s="196" t="s">
        <v>233</v>
      </c>
      <c r="C21" s="195">
        <f>2100000/1.27</f>
        <v>1653543.3070866142</v>
      </c>
      <c r="D21" s="195">
        <v>1638412</v>
      </c>
      <c r="E21" s="112"/>
      <c r="F21" s="112"/>
      <c r="G21" s="112"/>
      <c r="H21" s="112"/>
      <c r="I21" s="112">
        <f t="shared" si="0"/>
        <v>1653543.3070866142</v>
      </c>
      <c r="J21" s="112">
        <f t="shared" si="1"/>
        <v>1638412</v>
      </c>
      <c r="K21" s="112">
        <f t="shared" si="2"/>
        <v>1653543.3070866142</v>
      </c>
      <c r="L21" s="112"/>
      <c r="M21" s="112">
        <f t="shared" si="3"/>
        <v>1638412</v>
      </c>
      <c r="N21" s="112"/>
    </row>
    <row r="22" spans="1:14" ht="18.350000000000001">
      <c r="A22" s="1">
        <v>15</v>
      </c>
      <c r="B22" s="196" t="s">
        <v>250</v>
      </c>
      <c r="C22" s="195">
        <v>3000000</v>
      </c>
      <c r="D22" s="195">
        <v>0</v>
      </c>
      <c r="E22" s="112"/>
      <c r="F22" s="112"/>
      <c r="G22" s="112"/>
      <c r="H22" s="112"/>
      <c r="I22" s="112">
        <f t="shared" si="0"/>
        <v>3000000</v>
      </c>
      <c r="J22" s="112">
        <f t="shared" si="1"/>
        <v>0</v>
      </c>
      <c r="K22" s="112">
        <f t="shared" si="2"/>
        <v>3000000</v>
      </c>
      <c r="L22" s="112"/>
      <c r="M22" s="112">
        <f t="shared" si="3"/>
        <v>0</v>
      </c>
      <c r="N22" s="112"/>
    </row>
    <row r="23" spans="1:14" ht="18.350000000000001">
      <c r="A23" s="1">
        <v>16</v>
      </c>
      <c r="B23" s="196" t="s">
        <v>212</v>
      </c>
      <c r="C23" s="195">
        <v>8000000</v>
      </c>
      <c r="D23" s="195">
        <v>8000000</v>
      </c>
      <c r="E23" s="112"/>
      <c r="F23" s="112"/>
      <c r="G23" s="112"/>
      <c r="H23" s="112"/>
      <c r="I23" s="112">
        <f t="shared" si="0"/>
        <v>8000000</v>
      </c>
      <c r="J23" s="112">
        <f t="shared" si="1"/>
        <v>8000000</v>
      </c>
      <c r="K23" s="112">
        <f t="shared" si="2"/>
        <v>8000000</v>
      </c>
      <c r="L23" s="112"/>
      <c r="M23" s="112">
        <f t="shared" si="3"/>
        <v>8000000</v>
      </c>
      <c r="N23" s="112"/>
    </row>
    <row r="24" spans="1:14" ht="18.350000000000001">
      <c r="A24" s="1">
        <v>17</v>
      </c>
      <c r="B24" s="196" t="s">
        <v>293</v>
      </c>
      <c r="C24" s="195">
        <v>0</v>
      </c>
      <c r="D24" s="227">
        <v>3310000</v>
      </c>
      <c r="E24" s="112"/>
      <c r="F24" s="112"/>
      <c r="G24" s="112"/>
      <c r="H24" s="112"/>
      <c r="I24" s="112"/>
      <c r="J24" s="112">
        <f t="shared" si="1"/>
        <v>3310000</v>
      </c>
      <c r="K24" s="112"/>
      <c r="L24" s="112"/>
      <c r="M24" s="112">
        <f t="shared" si="3"/>
        <v>3310000</v>
      </c>
      <c r="N24" s="112"/>
    </row>
    <row r="25" spans="1:14" ht="18.350000000000001">
      <c r="A25" s="1">
        <v>18</v>
      </c>
      <c r="B25" s="196" t="s">
        <v>294</v>
      </c>
      <c r="C25" s="195">
        <v>0</v>
      </c>
      <c r="D25" s="227">
        <v>1158910</v>
      </c>
      <c r="E25" s="112"/>
      <c r="F25" s="112"/>
      <c r="G25" s="112"/>
      <c r="H25" s="112"/>
      <c r="I25" s="112"/>
      <c r="J25" s="112">
        <f t="shared" si="1"/>
        <v>1158910</v>
      </c>
      <c r="K25" s="112"/>
      <c r="L25" s="112"/>
      <c r="M25" s="112">
        <f t="shared" si="3"/>
        <v>1158910</v>
      </c>
      <c r="N25" s="112"/>
    </row>
    <row r="26" spans="1:14" ht="18.350000000000001">
      <c r="A26" s="1">
        <v>19</v>
      </c>
      <c r="B26" s="196" t="s">
        <v>295</v>
      </c>
      <c r="C26" s="195">
        <v>0</v>
      </c>
      <c r="D26" s="227">
        <v>2201100</v>
      </c>
      <c r="E26" s="112"/>
      <c r="F26" s="112"/>
      <c r="G26" s="112"/>
      <c r="H26" s="112"/>
      <c r="I26" s="112"/>
      <c r="J26" s="112">
        <f t="shared" si="1"/>
        <v>2201100</v>
      </c>
      <c r="K26" s="112"/>
      <c r="L26" s="112"/>
      <c r="M26" s="112">
        <f t="shared" si="3"/>
        <v>2201100</v>
      </c>
      <c r="N26" s="112"/>
    </row>
    <row r="27" spans="1:14" ht="18.350000000000001">
      <c r="A27" s="1">
        <v>20</v>
      </c>
      <c r="B27" s="196" t="s">
        <v>296</v>
      </c>
      <c r="C27" s="195">
        <v>0</v>
      </c>
      <c r="D27" s="227">
        <v>1410000</v>
      </c>
      <c r="E27" s="112"/>
      <c r="F27" s="112"/>
      <c r="G27" s="112"/>
      <c r="H27" s="112"/>
      <c r="I27" s="112"/>
      <c r="J27" s="112">
        <f t="shared" si="1"/>
        <v>1410000</v>
      </c>
      <c r="K27" s="112"/>
      <c r="L27" s="112"/>
      <c r="M27" s="112">
        <f t="shared" si="3"/>
        <v>1410000</v>
      </c>
      <c r="N27" s="112"/>
    </row>
    <row r="28" spans="1:14" ht="18.350000000000001">
      <c r="A28" s="1">
        <v>21</v>
      </c>
      <c r="B28" s="196" t="s">
        <v>297</v>
      </c>
      <c r="C28" s="195">
        <v>0</v>
      </c>
      <c r="D28" s="227">
        <v>2520000</v>
      </c>
      <c r="E28" s="112"/>
      <c r="F28" s="112"/>
      <c r="G28" s="112"/>
      <c r="H28" s="112"/>
      <c r="I28" s="112"/>
      <c r="J28" s="112">
        <f t="shared" si="1"/>
        <v>2520000</v>
      </c>
      <c r="K28" s="112"/>
      <c r="L28" s="112"/>
      <c r="M28" s="112">
        <f t="shared" si="3"/>
        <v>2520000</v>
      </c>
      <c r="N28" s="112"/>
    </row>
    <row r="29" spans="1:14" ht="18.350000000000001">
      <c r="A29" s="1">
        <v>22</v>
      </c>
      <c r="B29" s="196" t="s">
        <v>298</v>
      </c>
      <c r="C29" s="195">
        <v>0</v>
      </c>
      <c r="D29" s="227">
        <v>1326850</v>
      </c>
      <c r="E29" s="112"/>
      <c r="F29" s="112"/>
      <c r="G29" s="112"/>
      <c r="H29" s="112"/>
      <c r="I29" s="112"/>
      <c r="J29" s="112">
        <f t="shared" si="1"/>
        <v>1326850</v>
      </c>
      <c r="K29" s="112"/>
      <c r="L29" s="112"/>
      <c r="M29" s="112">
        <f t="shared" si="3"/>
        <v>1326850</v>
      </c>
      <c r="N29" s="112"/>
    </row>
    <row r="30" spans="1:14" ht="18.350000000000001">
      <c r="A30" s="1">
        <v>23</v>
      </c>
      <c r="B30" s="196" t="s">
        <v>299</v>
      </c>
      <c r="C30" s="195"/>
      <c r="D30" s="227">
        <v>5100000</v>
      </c>
      <c r="E30" s="112"/>
      <c r="F30" s="112"/>
      <c r="G30" s="112"/>
      <c r="H30" s="112"/>
      <c r="I30" s="112"/>
      <c r="J30" s="112">
        <f t="shared" si="1"/>
        <v>5100000</v>
      </c>
      <c r="K30" s="112"/>
      <c r="L30" s="112"/>
      <c r="M30" s="112">
        <f t="shared" si="3"/>
        <v>5100000</v>
      </c>
      <c r="N30" s="112"/>
    </row>
    <row r="31" spans="1:14" ht="18.350000000000001">
      <c r="A31" s="1">
        <v>24</v>
      </c>
      <c r="B31" s="196" t="s">
        <v>259</v>
      </c>
      <c r="C31" s="195"/>
      <c r="D31" s="227"/>
      <c r="E31" s="228"/>
      <c r="F31" s="228">
        <v>474300</v>
      </c>
      <c r="G31" s="228"/>
      <c r="H31" s="228"/>
      <c r="I31" s="112">
        <f t="shared" si="0"/>
        <v>0</v>
      </c>
      <c r="J31" s="112">
        <f t="shared" si="1"/>
        <v>474300</v>
      </c>
      <c r="K31" s="112">
        <f t="shared" si="2"/>
        <v>0</v>
      </c>
      <c r="L31" s="112"/>
      <c r="M31" s="112">
        <f t="shared" si="3"/>
        <v>474300</v>
      </c>
      <c r="N31" s="112"/>
    </row>
    <row r="32" spans="1:14" ht="18.350000000000001">
      <c r="A32" s="1">
        <v>25</v>
      </c>
      <c r="B32" s="196" t="s">
        <v>260</v>
      </c>
      <c r="C32" s="195"/>
      <c r="D32" s="195"/>
      <c r="E32" s="195"/>
      <c r="F32" s="195">
        <v>86535</v>
      </c>
      <c r="G32" s="195"/>
      <c r="H32" s="195"/>
      <c r="I32" s="112">
        <f t="shared" si="0"/>
        <v>0</v>
      </c>
      <c r="J32" s="112">
        <f t="shared" si="1"/>
        <v>86535</v>
      </c>
      <c r="K32" s="112">
        <f t="shared" si="2"/>
        <v>0</v>
      </c>
      <c r="L32" s="112"/>
      <c r="M32" s="112">
        <f t="shared" si="3"/>
        <v>86535</v>
      </c>
      <c r="N32" s="112"/>
    </row>
    <row r="33" spans="1:14" ht="18.350000000000001">
      <c r="A33" s="1">
        <v>26</v>
      </c>
      <c r="B33" s="196" t="s">
        <v>261</v>
      </c>
      <c r="C33" s="195"/>
      <c r="D33" s="195"/>
      <c r="E33" s="195"/>
      <c r="F33" s="195">
        <v>70866</v>
      </c>
      <c r="G33" s="195"/>
      <c r="H33" s="195"/>
      <c r="I33" s="112">
        <f t="shared" si="0"/>
        <v>0</v>
      </c>
      <c r="J33" s="112">
        <f t="shared" si="1"/>
        <v>70866</v>
      </c>
      <c r="K33" s="112">
        <f t="shared" si="2"/>
        <v>0</v>
      </c>
      <c r="L33" s="112"/>
      <c r="M33" s="112">
        <f t="shared" si="3"/>
        <v>70866</v>
      </c>
      <c r="N33" s="112"/>
    </row>
    <row r="34" spans="1:14" ht="18.350000000000001">
      <c r="A34" s="1">
        <v>27</v>
      </c>
      <c r="B34" s="196" t="s">
        <v>262</v>
      </c>
      <c r="C34" s="195"/>
      <c r="D34" s="195"/>
      <c r="E34" s="195"/>
      <c r="F34" s="195">
        <v>106299</v>
      </c>
      <c r="G34" s="195"/>
      <c r="H34" s="195"/>
      <c r="I34" s="112">
        <f t="shared" si="0"/>
        <v>0</v>
      </c>
      <c r="J34" s="112">
        <f t="shared" si="1"/>
        <v>106299</v>
      </c>
      <c r="K34" s="112">
        <f t="shared" si="2"/>
        <v>0</v>
      </c>
      <c r="L34" s="112"/>
      <c r="M34" s="112">
        <f t="shared" si="3"/>
        <v>106299</v>
      </c>
      <c r="N34" s="112"/>
    </row>
    <row r="35" spans="1:14" ht="18.350000000000001">
      <c r="A35" s="1">
        <v>28</v>
      </c>
      <c r="B35" s="196" t="s">
        <v>263</v>
      </c>
      <c r="C35" s="195"/>
      <c r="D35" s="195"/>
      <c r="E35" s="195"/>
      <c r="F35" s="195">
        <v>65732</v>
      </c>
      <c r="G35" s="195"/>
      <c r="H35" s="195"/>
      <c r="I35" s="112">
        <f t="shared" si="0"/>
        <v>0</v>
      </c>
      <c r="J35" s="112">
        <f t="shared" si="1"/>
        <v>65732</v>
      </c>
      <c r="K35" s="112">
        <f t="shared" si="2"/>
        <v>0</v>
      </c>
      <c r="L35" s="112"/>
      <c r="M35" s="112">
        <f t="shared" si="3"/>
        <v>65732</v>
      </c>
      <c r="N35" s="112"/>
    </row>
    <row r="36" spans="1:14" ht="18.350000000000001">
      <c r="A36" s="1">
        <v>29</v>
      </c>
      <c r="B36" s="196" t="s">
        <v>264</v>
      </c>
      <c r="C36" s="195"/>
      <c r="D36" s="195"/>
      <c r="E36" s="195"/>
      <c r="F36" s="195">
        <v>2000000</v>
      </c>
      <c r="G36" s="195"/>
      <c r="H36" s="195"/>
      <c r="I36" s="112">
        <f t="shared" si="0"/>
        <v>0</v>
      </c>
      <c r="J36" s="112">
        <f t="shared" si="1"/>
        <v>2000000</v>
      </c>
      <c r="K36" s="112">
        <f t="shared" si="2"/>
        <v>0</v>
      </c>
      <c r="L36" s="112"/>
      <c r="M36" s="112">
        <f t="shared" si="3"/>
        <v>2000000</v>
      </c>
      <c r="N36" s="112"/>
    </row>
    <row r="37" spans="1:14" ht="18.350000000000001">
      <c r="A37" s="1">
        <v>30</v>
      </c>
      <c r="B37" s="196" t="s">
        <v>265</v>
      </c>
      <c r="C37" s="195"/>
      <c r="D37" s="195"/>
      <c r="E37" s="195"/>
      <c r="F37" s="195">
        <v>20000</v>
      </c>
      <c r="G37" s="195"/>
      <c r="H37" s="195"/>
      <c r="I37" s="112">
        <f t="shared" si="0"/>
        <v>0</v>
      </c>
      <c r="J37" s="112">
        <f t="shared" si="1"/>
        <v>20000</v>
      </c>
      <c r="K37" s="112">
        <f t="shared" si="2"/>
        <v>0</v>
      </c>
      <c r="L37" s="112"/>
      <c r="M37" s="112">
        <f t="shared" si="3"/>
        <v>20000</v>
      </c>
      <c r="N37" s="112"/>
    </row>
    <row r="38" spans="1:14" ht="18.350000000000001">
      <c r="A38" s="1">
        <v>31</v>
      </c>
      <c r="B38" s="196" t="s">
        <v>266</v>
      </c>
      <c r="C38" s="195"/>
      <c r="D38" s="195"/>
      <c r="E38" s="195"/>
      <c r="F38" s="195">
        <v>65733</v>
      </c>
      <c r="G38" s="195"/>
      <c r="H38" s="195"/>
      <c r="I38" s="112">
        <f t="shared" si="0"/>
        <v>0</v>
      </c>
      <c r="J38" s="112">
        <f t="shared" si="1"/>
        <v>65733</v>
      </c>
      <c r="K38" s="112">
        <f t="shared" si="2"/>
        <v>0</v>
      </c>
      <c r="L38" s="112"/>
      <c r="M38" s="112">
        <f t="shared" si="3"/>
        <v>65733</v>
      </c>
      <c r="N38" s="112"/>
    </row>
    <row r="39" spans="1:14" ht="18.350000000000001">
      <c r="A39" s="1">
        <v>32</v>
      </c>
      <c r="B39" s="196" t="s">
        <v>267</v>
      </c>
      <c r="C39" s="195"/>
      <c r="D39" s="195"/>
      <c r="E39" s="195"/>
      <c r="F39" s="195">
        <v>180236</v>
      </c>
      <c r="G39" s="195"/>
      <c r="H39" s="195"/>
      <c r="I39" s="112">
        <f t="shared" si="0"/>
        <v>0</v>
      </c>
      <c r="J39" s="112">
        <f t="shared" si="1"/>
        <v>180236</v>
      </c>
      <c r="K39" s="112">
        <f t="shared" si="2"/>
        <v>0</v>
      </c>
      <c r="L39" s="112"/>
      <c r="M39" s="112">
        <f t="shared" si="3"/>
        <v>180236</v>
      </c>
      <c r="N39" s="112"/>
    </row>
    <row r="40" spans="1:14" ht="36.700000000000003">
      <c r="A40" s="1">
        <v>33</v>
      </c>
      <c r="B40" s="196" t="s">
        <v>268</v>
      </c>
      <c r="C40" s="195"/>
      <c r="D40" s="195"/>
      <c r="E40" s="195"/>
      <c r="F40" s="195"/>
      <c r="G40" s="195"/>
      <c r="H40" s="195">
        <v>633669</v>
      </c>
      <c r="I40" s="112">
        <f t="shared" si="0"/>
        <v>0</v>
      </c>
      <c r="J40" s="112">
        <f t="shared" si="1"/>
        <v>633669</v>
      </c>
      <c r="K40" s="112">
        <f t="shared" si="2"/>
        <v>0</v>
      </c>
      <c r="L40" s="112"/>
      <c r="M40" s="112">
        <f t="shared" si="3"/>
        <v>633669</v>
      </c>
      <c r="N40" s="112"/>
    </row>
    <row r="41" spans="1:14" ht="18.350000000000001">
      <c r="A41" s="1">
        <v>34</v>
      </c>
      <c r="B41" s="196" t="s">
        <v>269</v>
      </c>
      <c r="C41" s="195"/>
      <c r="D41" s="195"/>
      <c r="E41" s="195"/>
      <c r="F41" s="195"/>
      <c r="G41" s="195"/>
      <c r="H41" s="195">
        <v>290930</v>
      </c>
      <c r="I41" s="112">
        <f t="shared" si="0"/>
        <v>0</v>
      </c>
      <c r="J41" s="112">
        <f t="shared" si="1"/>
        <v>290930</v>
      </c>
      <c r="K41" s="112">
        <f t="shared" si="2"/>
        <v>0</v>
      </c>
      <c r="L41" s="112"/>
      <c r="M41" s="112">
        <f t="shared" si="3"/>
        <v>290930</v>
      </c>
      <c r="N41" s="112"/>
    </row>
    <row r="42" spans="1:14" ht="18.350000000000001">
      <c r="A42" s="1">
        <v>35</v>
      </c>
      <c r="B42" s="196" t="s">
        <v>270</v>
      </c>
      <c r="C42" s="195"/>
      <c r="D42" s="195"/>
      <c r="E42" s="195"/>
      <c r="F42" s="195"/>
      <c r="G42" s="195"/>
      <c r="H42" s="195">
        <v>148650</v>
      </c>
      <c r="I42" s="112">
        <f t="shared" si="0"/>
        <v>0</v>
      </c>
      <c r="J42" s="112">
        <f t="shared" si="1"/>
        <v>148650</v>
      </c>
      <c r="K42" s="112">
        <f t="shared" si="2"/>
        <v>0</v>
      </c>
      <c r="L42" s="112"/>
      <c r="M42" s="112">
        <f t="shared" si="3"/>
        <v>148650</v>
      </c>
      <c r="N42" s="112"/>
    </row>
    <row r="43" spans="1:14" ht="36.700000000000003">
      <c r="A43" s="1">
        <v>36</v>
      </c>
      <c r="B43" s="196" t="s">
        <v>268</v>
      </c>
      <c r="C43" s="195"/>
      <c r="D43" s="195"/>
      <c r="E43" s="195"/>
      <c r="F43" s="195"/>
      <c r="G43" s="195"/>
      <c r="H43" s="195">
        <v>1112251</v>
      </c>
      <c r="I43" s="112">
        <f t="shared" si="0"/>
        <v>0</v>
      </c>
      <c r="J43" s="112">
        <f t="shared" si="1"/>
        <v>1112251</v>
      </c>
      <c r="K43" s="112">
        <f t="shared" si="2"/>
        <v>0</v>
      </c>
      <c r="L43" s="112"/>
      <c r="M43" s="112">
        <f t="shared" si="3"/>
        <v>1112251</v>
      </c>
      <c r="N43" s="112"/>
    </row>
    <row r="44" spans="1:14" ht="18.350000000000001">
      <c r="A44" s="1">
        <v>37</v>
      </c>
      <c r="B44" s="196" t="s">
        <v>270</v>
      </c>
      <c r="C44" s="195"/>
      <c r="D44" s="195"/>
      <c r="E44" s="195"/>
      <c r="F44" s="195"/>
      <c r="G44" s="195"/>
      <c r="H44" s="195">
        <v>193650</v>
      </c>
      <c r="I44" s="112">
        <f t="shared" si="0"/>
        <v>0</v>
      </c>
      <c r="J44" s="112">
        <f t="shared" si="1"/>
        <v>193650</v>
      </c>
      <c r="K44" s="112">
        <f t="shared" si="2"/>
        <v>0</v>
      </c>
      <c r="L44" s="112"/>
      <c r="M44" s="112">
        <f t="shared" si="3"/>
        <v>193650</v>
      </c>
      <c r="N44" s="112"/>
    </row>
    <row r="45" spans="1:14" ht="18.350000000000001">
      <c r="A45" s="1">
        <v>38</v>
      </c>
      <c r="B45" s="196" t="s">
        <v>271</v>
      </c>
      <c r="C45" s="195"/>
      <c r="D45" s="195"/>
      <c r="E45" s="195"/>
      <c r="F45" s="195"/>
      <c r="G45" s="195"/>
      <c r="H45" s="195">
        <v>71254</v>
      </c>
      <c r="I45" s="112">
        <f t="shared" si="0"/>
        <v>0</v>
      </c>
      <c r="J45" s="112">
        <f t="shared" si="1"/>
        <v>71254</v>
      </c>
      <c r="K45" s="112">
        <f t="shared" si="2"/>
        <v>0</v>
      </c>
      <c r="L45" s="112"/>
      <c r="M45" s="112">
        <f t="shared" si="3"/>
        <v>71254</v>
      </c>
      <c r="N45" s="112"/>
    </row>
    <row r="46" spans="1:14" ht="18.350000000000001">
      <c r="A46" s="1">
        <v>39</v>
      </c>
      <c r="B46" s="196"/>
      <c r="C46" s="195"/>
      <c r="D46" s="195"/>
      <c r="E46" s="195"/>
      <c r="F46" s="195"/>
      <c r="G46" s="195"/>
      <c r="H46" s="195"/>
      <c r="I46" s="112">
        <f t="shared" si="0"/>
        <v>0</v>
      </c>
      <c r="J46" s="112">
        <f t="shared" si="1"/>
        <v>0</v>
      </c>
      <c r="K46" s="112">
        <f t="shared" si="2"/>
        <v>0</v>
      </c>
      <c r="L46" s="112"/>
      <c r="M46" s="112">
        <f t="shared" si="3"/>
        <v>0</v>
      </c>
      <c r="N46" s="112"/>
    </row>
    <row r="47" spans="1:14" ht="18.350000000000001">
      <c r="A47" s="1">
        <v>40</v>
      </c>
      <c r="B47" s="196"/>
      <c r="C47" s="195"/>
      <c r="D47" s="195"/>
      <c r="E47" s="195"/>
      <c r="F47" s="195"/>
      <c r="G47" s="195"/>
      <c r="H47" s="195"/>
      <c r="I47" s="112">
        <f t="shared" si="0"/>
        <v>0</v>
      </c>
      <c r="J47" s="112">
        <f t="shared" si="1"/>
        <v>0</v>
      </c>
      <c r="K47" s="112">
        <f t="shared" si="2"/>
        <v>0</v>
      </c>
      <c r="L47" s="112"/>
      <c r="M47" s="112">
        <f t="shared" si="3"/>
        <v>0</v>
      </c>
      <c r="N47" s="112"/>
    </row>
    <row r="48" spans="1:14" ht="18.350000000000001">
      <c r="A48" s="1">
        <v>41</v>
      </c>
      <c r="B48" s="196"/>
      <c r="C48" s="195"/>
      <c r="D48" s="195"/>
      <c r="E48" s="195"/>
      <c r="F48" s="195"/>
      <c r="G48" s="195"/>
      <c r="H48" s="195"/>
      <c r="I48" s="112">
        <f t="shared" si="0"/>
        <v>0</v>
      </c>
      <c r="J48" s="112">
        <f t="shared" si="1"/>
        <v>0</v>
      </c>
      <c r="K48" s="112">
        <f t="shared" si="2"/>
        <v>0</v>
      </c>
      <c r="L48" s="112"/>
      <c r="M48" s="112">
        <f t="shared" si="3"/>
        <v>0</v>
      </c>
      <c r="N48" s="112"/>
    </row>
    <row r="49" spans="1:14" ht="18.350000000000001">
      <c r="A49" s="1">
        <v>42</v>
      </c>
      <c r="B49" s="202" t="s">
        <v>197</v>
      </c>
      <c r="C49" s="203">
        <f>SUM(C8:C48)*0.27</f>
        <v>174362766.24826774</v>
      </c>
      <c r="D49" s="203">
        <v>39587264</v>
      </c>
      <c r="E49" s="203">
        <f t="shared" ref="E49:F49" si="4">SUM(E8:E48)*0.27</f>
        <v>0</v>
      </c>
      <c r="F49" s="203">
        <f t="shared" si="4"/>
        <v>828819.27</v>
      </c>
      <c r="G49" s="203">
        <f t="shared" ref="G49" si="5">SUM(G8:G48)*0.27</f>
        <v>0</v>
      </c>
      <c r="H49" s="203">
        <f t="shared" ref="H49" si="6">SUM(H8:H48)*0.27</f>
        <v>661609.08000000007</v>
      </c>
      <c r="I49" s="234">
        <f t="shared" ref="I49" si="7">C49+E49+G49</f>
        <v>174362766.24826774</v>
      </c>
      <c r="J49" s="234">
        <f t="shared" ref="J49" si="8">D49+F49+H49</f>
        <v>41077692.350000001</v>
      </c>
      <c r="K49" s="234">
        <f t="shared" ref="K49" si="9">C49</f>
        <v>174362766.24826774</v>
      </c>
      <c r="L49" s="234"/>
      <c r="M49" s="234">
        <f t="shared" ref="M49" si="10">J49</f>
        <v>41077692.350000001</v>
      </c>
      <c r="N49" s="234"/>
    </row>
    <row r="50" spans="1:14" ht="18.350000000000001">
      <c r="A50" s="1">
        <v>43</v>
      </c>
      <c r="B50" s="89" t="s">
        <v>89</v>
      </c>
      <c r="C50" s="113">
        <f>SUM(C8:C49)</f>
        <v>820150789.3900001</v>
      </c>
      <c r="D50" s="113">
        <f t="shared" ref="D50:F50" si="11">SUM(D8:D49)</f>
        <v>333566569</v>
      </c>
      <c r="E50" s="113">
        <f t="shared" si="11"/>
        <v>0</v>
      </c>
      <c r="F50" s="113">
        <f t="shared" si="11"/>
        <v>3898520.27</v>
      </c>
      <c r="G50" s="113">
        <f t="shared" ref="G50" si="12">SUM(G8:G49)</f>
        <v>0</v>
      </c>
      <c r="H50" s="113">
        <f t="shared" ref="H50" si="13">SUM(H8:H49)</f>
        <v>3112013.08</v>
      </c>
      <c r="I50" s="113">
        <f>SUM(I8:I49)</f>
        <v>820150789.3900001</v>
      </c>
      <c r="J50" s="113">
        <f t="shared" ref="J50:N50" si="14">SUM(J8:J49)</f>
        <v>340577102.35000002</v>
      </c>
      <c r="K50" s="113">
        <f t="shared" si="14"/>
        <v>820150789.3900001</v>
      </c>
      <c r="L50" s="113">
        <f t="shared" si="14"/>
        <v>0</v>
      </c>
      <c r="M50" s="113">
        <f t="shared" si="14"/>
        <v>340577102.35000002</v>
      </c>
      <c r="N50" s="113">
        <f t="shared" si="14"/>
        <v>0</v>
      </c>
    </row>
    <row r="51" spans="1:14" ht="18.350000000000001"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 ht="23.3">
      <c r="B52" s="92"/>
      <c r="D52" s="94"/>
      <c r="F52" s="95"/>
    </row>
    <row r="53" spans="1:14" ht="18.350000000000001">
      <c r="B53" s="96" t="s">
        <v>95</v>
      </c>
    </row>
    <row r="54" spans="1:14" ht="59.3">
      <c r="B54" s="86" t="s">
        <v>0</v>
      </c>
      <c r="C54" s="47" t="s">
        <v>1</v>
      </c>
      <c r="D54" s="47" t="s">
        <v>74</v>
      </c>
      <c r="E54" s="47" t="s">
        <v>2</v>
      </c>
      <c r="F54" s="47" t="s">
        <v>100</v>
      </c>
      <c r="G54" s="47" t="s">
        <v>68</v>
      </c>
      <c r="H54" s="47" t="s">
        <v>101</v>
      </c>
      <c r="I54" s="54" t="s">
        <v>3</v>
      </c>
      <c r="J54" s="54" t="s">
        <v>4</v>
      </c>
      <c r="K54" s="54" t="s">
        <v>66</v>
      </c>
      <c r="L54" s="54" t="s">
        <v>67</v>
      </c>
      <c r="M54" s="54" t="s">
        <v>69</v>
      </c>
      <c r="N54" s="54" t="s">
        <v>70</v>
      </c>
    </row>
    <row r="55" spans="1:14" ht="15.55">
      <c r="B55" s="87" t="s">
        <v>5</v>
      </c>
      <c r="C55" s="87" t="s">
        <v>6</v>
      </c>
      <c r="D55" s="87" t="s">
        <v>7</v>
      </c>
      <c r="E55" s="87" t="s">
        <v>8</v>
      </c>
      <c r="F55" s="87" t="s">
        <v>9</v>
      </c>
      <c r="G55" s="87" t="s">
        <v>10</v>
      </c>
      <c r="H55" s="87" t="s">
        <v>11</v>
      </c>
      <c r="I55" s="87" t="s">
        <v>12</v>
      </c>
      <c r="J55" s="87" t="s">
        <v>13</v>
      </c>
      <c r="K55" s="87" t="s">
        <v>14</v>
      </c>
      <c r="L55" s="87" t="s">
        <v>15</v>
      </c>
      <c r="M55" s="87" t="s">
        <v>16</v>
      </c>
      <c r="N55" s="87" t="s">
        <v>198</v>
      </c>
    </row>
    <row r="56" spans="1:14" ht="18.350000000000001">
      <c r="A56" s="1">
        <v>1</v>
      </c>
      <c r="B56" s="235" t="s">
        <v>301</v>
      </c>
      <c r="C56" s="229"/>
      <c r="D56" s="229">
        <v>12223994</v>
      </c>
      <c r="E56" s="230"/>
      <c r="F56" s="112"/>
      <c r="G56" s="112"/>
      <c r="H56" s="112"/>
      <c r="I56" s="112">
        <f>C56+E56+G56</f>
        <v>0</v>
      </c>
      <c r="J56" s="112">
        <f>D56+F56+H56</f>
        <v>12223994</v>
      </c>
      <c r="K56" s="112">
        <f>C56</f>
        <v>0</v>
      </c>
      <c r="L56" s="112"/>
      <c r="M56" s="112">
        <f>J56</f>
        <v>12223994</v>
      </c>
      <c r="N56" s="112"/>
    </row>
    <row r="57" spans="1:14" ht="36.700000000000003">
      <c r="A57" s="1">
        <v>2</v>
      </c>
      <c r="B57" s="236" t="s">
        <v>300</v>
      </c>
      <c r="C57" s="228"/>
      <c r="D57" s="228">
        <v>2658000</v>
      </c>
      <c r="E57" s="112"/>
      <c r="F57" s="112"/>
      <c r="G57" s="112"/>
      <c r="H57" s="112"/>
      <c r="I57" s="112"/>
      <c r="J57" s="112">
        <f>D57+F57+H57</f>
        <v>2658000</v>
      </c>
      <c r="K57" s="112"/>
      <c r="L57" s="112"/>
      <c r="M57" s="112">
        <f>J57</f>
        <v>2658000</v>
      </c>
      <c r="N57" s="112"/>
    </row>
    <row r="58" spans="1:14" ht="18.350000000000001">
      <c r="A58" s="1">
        <v>3</v>
      </c>
      <c r="B58" s="231" t="s">
        <v>197</v>
      </c>
      <c r="C58" s="232">
        <f>C56*0.27</f>
        <v>0</v>
      </c>
      <c r="D58" s="232">
        <v>2407024</v>
      </c>
      <c r="E58" s="233"/>
      <c r="F58" s="233"/>
      <c r="G58" s="233"/>
      <c r="H58" s="233"/>
      <c r="I58" s="234">
        <f>C58+E58+G58</f>
        <v>0</v>
      </c>
      <c r="J58" s="234">
        <f>D58+F58+H58</f>
        <v>2407024</v>
      </c>
      <c r="K58" s="234">
        <f>C58</f>
        <v>0</v>
      </c>
      <c r="L58" s="234"/>
      <c r="M58" s="234">
        <f>D58</f>
        <v>2407024</v>
      </c>
      <c r="N58" s="233"/>
    </row>
    <row r="59" spans="1:14" ht="18.350000000000001">
      <c r="A59" s="1">
        <v>4</v>
      </c>
      <c r="B59" s="89" t="s">
        <v>89</v>
      </c>
      <c r="C59" s="197">
        <f>SUM(C56:C58)</f>
        <v>0</v>
      </c>
      <c r="D59" s="197">
        <f>SUM(D56:D58)</f>
        <v>17289018</v>
      </c>
      <c r="E59" s="197">
        <f>SUM(E58:E58)</f>
        <v>0</v>
      </c>
      <c r="F59" s="197">
        <f>SUM(F58:F58)</f>
        <v>0</v>
      </c>
      <c r="G59" s="197">
        <f>SUM(G58:G58)</f>
        <v>0</v>
      </c>
      <c r="H59" s="197">
        <f>SUM(H58:H58)</f>
        <v>0</v>
      </c>
      <c r="I59" s="197">
        <f>SUM(I56:I58)</f>
        <v>0</v>
      </c>
      <c r="J59" s="197">
        <f>SUM(J56:J58)</f>
        <v>17289018</v>
      </c>
      <c r="K59" s="197">
        <f>SUM(K56:K58)</f>
        <v>0</v>
      </c>
      <c r="L59" s="197">
        <f>SUM(L58:L58)</f>
        <v>0</v>
      </c>
      <c r="M59" s="197">
        <f>SUM(M56:M58)</f>
        <v>17289018</v>
      </c>
      <c r="N59" s="197">
        <f>SUM(N58:N58)</f>
        <v>0</v>
      </c>
    </row>
    <row r="60" spans="1:14" ht="17.649999999999999">
      <c r="B60" s="92"/>
      <c r="C60" s="93"/>
      <c r="D60" s="94"/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1:14" ht="18.350000000000001">
      <c r="B61" s="97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ht="17.649999999999999">
      <c r="B62" s="92" t="s">
        <v>167</v>
      </c>
    </row>
    <row r="63" spans="1:14" ht="59.3">
      <c r="B63" s="86" t="s">
        <v>0</v>
      </c>
      <c r="C63" s="47" t="s">
        <v>1</v>
      </c>
      <c r="D63" s="47" t="s">
        <v>74</v>
      </c>
      <c r="E63" s="47" t="s">
        <v>2</v>
      </c>
      <c r="F63" s="47" t="s">
        <v>100</v>
      </c>
      <c r="G63" s="47" t="s">
        <v>68</v>
      </c>
      <c r="H63" s="47" t="s">
        <v>101</v>
      </c>
      <c r="I63" s="54" t="s">
        <v>3</v>
      </c>
      <c r="J63" s="54" t="s">
        <v>4</v>
      </c>
      <c r="K63" s="54" t="s">
        <v>66</v>
      </c>
      <c r="L63" s="54" t="s">
        <v>67</v>
      </c>
      <c r="M63" s="54" t="s">
        <v>69</v>
      </c>
      <c r="N63" s="54" t="s">
        <v>70</v>
      </c>
    </row>
    <row r="64" spans="1:14" ht="15.55">
      <c r="B64" s="87" t="s">
        <v>5</v>
      </c>
      <c r="C64" s="87" t="s">
        <v>6</v>
      </c>
      <c r="D64" s="87" t="s">
        <v>7</v>
      </c>
      <c r="E64" s="87" t="s">
        <v>8</v>
      </c>
      <c r="F64" s="87" t="s">
        <v>9</v>
      </c>
      <c r="G64" s="87" t="s">
        <v>10</v>
      </c>
      <c r="H64" s="87" t="s">
        <v>11</v>
      </c>
      <c r="I64" s="87" t="s">
        <v>12</v>
      </c>
      <c r="J64" s="87" t="s">
        <v>13</v>
      </c>
      <c r="K64" s="87" t="s">
        <v>14</v>
      </c>
      <c r="L64" s="87" t="s">
        <v>15</v>
      </c>
      <c r="M64" s="87" t="s">
        <v>16</v>
      </c>
      <c r="N64" s="87" t="s">
        <v>198</v>
      </c>
    </row>
    <row r="65" spans="1:14" ht="18.350000000000001">
      <c r="A65" s="1">
        <v>1</v>
      </c>
      <c r="B65" s="99" t="s">
        <v>167</v>
      </c>
      <c r="C65" s="100"/>
      <c r="D65" s="101">
        <v>454546</v>
      </c>
      <c r="E65" s="100"/>
      <c r="F65" s="100"/>
      <c r="G65" s="100"/>
      <c r="H65" s="100"/>
      <c r="I65" s="88"/>
      <c r="J65" s="102">
        <f>D65+F65+H65</f>
        <v>454546</v>
      </c>
      <c r="K65" s="88">
        <f>C65</f>
        <v>0</v>
      </c>
      <c r="L65" s="100"/>
      <c r="M65" s="102">
        <f>D65</f>
        <v>454546</v>
      </c>
      <c r="N65" s="100"/>
    </row>
    <row r="66" spans="1:14" ht="18.350000000000001">
      <c r="A66" s="1">
        <v>2</v>
      </c>
      <c r="B66" s="103"/>
      <c r="C66" s="100"/>
      <c r="D66" s="104"/>
      <c r="E66" s="100"/>
      <c r="F66" s="100"/>
      <c r="G66" s="100"/>
      <c r="H66" s="100"/>
      <c r="I66" s="88"/>
      <c r="J66" s="100"/>
      <c r="K66" s="88"/>
      <c r="L66" s="100"/>
      <c r="M66" s="102"/>
      <c r="N66" s="100"/>
    </row>
    <row r="67" spans="1:14" ht="18.350000000000001">
      <c r="A67" s="1">
        <v>3</v>
      </c>
      <c r="B67" s="89" t="s">
        <v>89</v>
      </c>
      <c r="C67" s="88">
        <f>SUM(C65:C66)</f>
        <v>0</v>
      </c>
      <c r="D67" s="88">
        <f>SUM(D65:D66)</f>
        <v>454546</v>
      </c>
      <c r="E67" s="88">
        <f t="shared" ref="E67:N67" si="15">SUM(E64:E66)</f>
        <v>0</v>
      </c>
      <c r="F67" s="88">
        <f t="shared" si="15"/>
        <v>0</v>
      </c>
      <c r="G67" s="88">
        <f t="shared" si="15"/>
        <v>0</v>
      </c>
      <c r="H67" s="88">
        <f t="shared" si="15"/>
        <v>0</v>
      </c>
      <c r="I67" s="88">
        <f t="shared" si="15"/>
        <v>0</v>
      </c>
      <c r="J67" s="88">
        <f t="shared" si="15"/>
        <v>454546</v>
      </c>
      <c r="K67" s="88">
        <f t="shared" si="15"/>
        <v>0</v>
      </c>
      <c r="L67" s="88">
        <f t="shared" si="15"/>
        <v>0</v>
      </c>
      <c r="M67" s="88">
        <f t="shared" si="15"/>
        <v>454546</v>
      </c>
      <c r="N67" s="88">
        <f t="shared" si="15"/>
        <v>0</v>
      </c>
    </row>
    <row r="68" spans="1:14" ht="17.649999999999999">
      <c r="B68" s="105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</row>
    <row r="69" spans="1:14" ht="18.350000000000001">
      <c r="B69" s="97" t="s">
        <v>96</v>
      </c>
      <c r="C69" s="98">
        <f>C50+C59</f>
        <v>820150789.3900001</v>
      </c>
      <c r="D69" s="98">
        <f>D59+D67+D50</f>
        <v>351310133</v>
      </c>
      <c r="E69" s="98">
        <f t="shared" ref="E69:N69" si="16">E59+E67+E50</f>
        <v>0</v>
      </c>
      <c r="F69" s="98">
        <f t="shared" si="16"/>
        <v>3898520.27</v>
      </c>
      <c r="G69" s="98">
        <f t="shared" si="16"/>
        <v>0</v>
      </c>
      <c r="H69" s="98">
        <f t="shared" si="16"/>
        <v>3112013.08</v>
      </c>
      <c r="I69" s="98">
        <f t="shared" si="16"/>
        <v>820150789.3900001</v>
      </c>
      <c r="J69" s="98">
        <f t="shared" si="16"/>
        <v>358320666.35000002</v>
      </c>
      <c r="K69" s="98">
        <f t="shared" si="16"/>
        <v>820150789.3900001</v>
      </c>
      <c r="L69" s="98">
        <f t="shared" si="16"/>
        <v>0</v>
      </c>
      <c r="M69" s="98">
        <f t="shared" si="16"/>
        <v>358320666.35000002</v>
      </c>
      <c r="N69" s="98">
        <f t="shared" si="16"/>
        <v>0</v>
      </c>
    </row>
    <row r="70" spans="1:14" ht="18.350000000000001">
      <c r="B70" s="9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>
      <c r="B71" s="247" t="s">
        <v>235</v>
      </c>
      <c r="C71" s="247"/>
      <c r="D71" s="247"/>
      <c r="E71" s="247"/>
      <c r="F71" s="247"/>
      <c r="G71" s="247"/>
      <c r="H71" s="247"/>
      <c r="I71" s="247"/>
    </row>
    <row r="73" spans="1:14" ht="72">
      <c r="B73" s="44" t="s">
        <v>0</v>
      </c>
      <c r="C73" s="107" t="s">
        <v>97</v>
      </c>
      <c r="D73" s="107" t="s">
        <v>98</v>
      </c>
      <c r="E73" s="107" t="s">
        <v>99</v>
      </c>
      <c r="F73" s="107" t="s">
        <v>99</v>
      </c>
      <c r="G73" s="107" t="s">
        <v>99</v>
      </c>
      <c r="H73" s="107" t="s">
        <v>99</v>
      </c>
      <c r="I73" s="107" t="s">
        <v>99</v>
      </c>
      <c r="J73" s="107" t="s">
        <v>99</v>
      </c>
      <c r="K73" s="1"/>
      <c r="L73" s="1"/>
      <c r="M73" s="1"/>
      <c r="N73" s="1"/>
    </row>
    <row r="74" spans="1:14">
      <c r="B74" s="108"/>
      <c r="C74" s="109"/>
      <c r="D74" s="109"/>
      <c r="E74" s="109"/>
      <c r="F74" s="109"/>
      <c r="G74" s="109"/>
      <c r="H74" s="109"/>
      <c r="I74" s="109"/>
      <c r="J74" s="109"/>
      <c r="K74" s="1"/>
      <c r="L74" s="1"/>
      <c r="M74" s="1"/>
      <c r="N74" s="1"/>
    </row>
    <row r="75" spans="1:14" ht="15.55">
      <c r="B75" s="110" t="s">
        <v>88</v>
      </c>
      <c r="C75" s="109"/>
      <c r="D75" s="109"/>
      <c r="E75" s="109"/>
      <c r="F75" s="109"/>
      <c r="G75" s="109"/>
      <c r="H75" s="109"/>
      <c r="I75" s="109"/>
      <c r="J75" s="109"/>
      <c r="K75" s="1"/>
      <c r="L75" s="1"/>
      <c r="M75" s="1"/>
      <c r="N75" s="1" t="s">
        <v>315</v>
      </c>
    </row>
    <row r="78" spans="1:14" ht="15.55">
      <c r="B78" s="111"/>
    </row>
    <row r="88" spans="2:14" ht="17.649999999999999">
      <c r="B88" s="105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</row>
    <row r="89" spans="2:14" ht="17.649999999999999">
      <c r="B89" s="105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</row>
    <row r="90" spans="2:14" ht="17.649999999999999">
      <c r="B90" s="105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</row>
    <row r="91" spans="2:14" ht="17.649999999999999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</row>
    <row r="92" spans="2:14" ht="17.649999999999999">
      <c r="B92" s="105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</row>
    <row r="93" spans="2:14" ht="17.649999999999999">
      <c r="B93" s="105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</row>
    <row r="94" spans="2:14" ht="17.649999999999999">
      <c r="B94" s="105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</row>
    <row r="95" spans="2:14" ht="17.649999999999999"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2:14" ht="17.649999999999999">
      <c r="B96" s="9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</row>
    <row r="97" spans="2:14" ht="17.649999999999999">
      <c r="B97" s="9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</row>
    <row r="98" spans="2:14" ht="17.649999999999999"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</row>
    <row r="99" spans="2:14" ht="17.649999999999999"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</row>
    <row r="100" spans="2:14" ht="17.649999999999999"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</row>
    <row r="101" spans="2:14" ht="17.649999999999999"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</row>
    <row r="102" spans="2:14" ht="17.649999999999999">
      <c r="B102" s="92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</row>
    <row r="103" spans="2:14" ht="17.649999999999999">
      <c r="B103" s="92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</row>
  </sheetData>
  <mergeCells count="3">
    <mergeCell ref="B71:I71"/>
    <mergeCell ref="B2:N2"/>
    <mergeCell ref="J3:N3"/>
  </mergeCells>
  <phoneticPr fontId="5" type="noConversion"/>
  <pageMargins left="0.47244094488188981" right="0.43307086614173229" top="0.45" bottom="0.42" header="0.31496062992125984" footer="0.31496062992125984"/>
  <pageSetup paperSize="9" scale="44" orientation="landscape" r:id="rId1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zoomScale="75" zoomScaleNormal="75" workbookViewId="0">
      <selection activeCell="E1" sqref="E1"/>
    </sheetView>
  </sheetViews>
  <sheetFormatPr defaultColWidth="9.125" defaultRowHeight="12.7"/>
  <cols>
    <col min="1" max="1" width="9.125" style="1" customWidth="1"/>
    <col min="2" max="2" width="73.125" style="1" customWidth="1"/>
    <col min="3" max="4" width="17.875" style="1" customWidth="1"/>
    <col min="5" max="8" width="21.375" style="1" customWidth="1"/>
    <col min="9" max="16384" width="9.125" style="1"/>
  </cols>
  <sheetData>
    <row r="1" spans="1:24">
      <c r="E1" s="1" t="s">
        <v>336</v>
      </c>
    </row>
    <row r="2" spans="1:24">
      <c r="B2" s="244" t="s">
        <v>323</v>
      </c>
      <c r="C2" s="244"/>
      <c r="D2" s="244"/>
      <c r="E2" s="244"/>
      <c r="F2" s="244"/>
      <c r="G2" s="244"/>
      <c r="H2" s="244"/>
    </row>
    <row r="3" spans="1:24">
      <c r="B3" s="42"/>
      <c r="C3" s="42"/>
      <c r="D3" s="42"/>
      <c r="E3" s="248"/>
      <c r="F3" s="248"/>
      <c r="G3" s="248"/>
      <c r="H3" s="248"/>
    </row>
    <row r="4" spans="1:24" ht="20.5">
      <c r="B4" s="43" t="s">
        <v>238</v>
      </c>
    </row>
    <row r="5" spans="1:24" ht="20.5">
      <c r="B5" s="43"/>
      <c r="G5" s="1" t="s">
        <v>81</v>
      </c>
    </row>
    <row r="6" spans="1:24" ht="59.3">
      <c r="B6" s="53" t="s">
        <v>0</v>
      </c>
      <c r="C6" s="47" t="s">
        <v>1</v>
      </c>
      <c r="D6" s="47" t="s">
        <v>62</v>
      </c>
      <c r="E6" s="54" t="s">
        <v>66</v>
      </c>
      <c r="F6" s="54" t="s">
        <v>67</v>
      </c>
      <c r="G6" s="54" t="s">
        <v>69</v>
      </c>
      <c r="H6" s="54" t="s">
        <v>70</v>
      </c>
      <c r="J6" s="3"/>
    </row>
    <row r="7" spans="1:24" ht="14.15">
      <c r="B7" s="47" t="s">
        <v>5</v>
      </c>
      <c r="C7" s="47" t="s">
        <v>6</v>
      </c>
      <c r="D7" s="47" t="s">
        <v>7</v>
      </c>
      <c r="E7" s="47" t="s">
        <v>8</v>
      </c>
      <c r="F7" s="47" t="s">
        <v>76</v>
      </c>
      <c r="G7" s="47" t="s">
        <v>10</v>
      </c>
      <c r="H7" s="47" t="s">
        <v>11</v>
      </c>
    </row>
    <row r="8" spans="1:24" ht="16.25">
      <c r="A8" s="1">
        <v>1</v>
      </c>
      <c r="B8" s="118" t="s">
        <v>303</v>
      </c>
      <c r="C8" s="56">
        <v>0</v>
      </c>
      <c r="D8" s="56">
        <v>0</v>
      </c>
      <c r="E8" s="56">
        <f>C8</f>
        <v>0</v>
      </c>
      <c r="F8" s="56"/>
      <c r="G8" s="56">
        <f>D8</f>
        <v>0</v>
      </c>
      <c r="H8" s="5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5.45">
      <c r="A9" s="1">
        <v>2</v>
      </c>
      <c r="B9" s="176" t="s">
        <v>305</v>
      </c>
      <c r="C9" s="56">
        <v>1000000</v>
      </c>
      <c r="D9" s="56">
        <v>1477000</v>
      </c>
      <c r="E9" s="56">
        <f>C9</f>
        <v>1000000</v>
      </c>
      <c r="F9" s="56"/>
      <c r="G9" s="56">
        <f>D9</f>
        <v>1477000</v>
      </c>
      <c r="H9" s="5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5.45">
      <c r="A10" s="1">
        <v>3</v>
      </c>
      <c r="B10" s="176" t="s">
        <v>306</v>
      </c>
      <c r="C10" s="56">
        <v>1500000</v>
      </c>
      <c r="D10" s="56">
        <v>786000</v>
      </c>
      <c r="E10" s="56">
        <f>C10</f>
        <v>1500000</v>
      </c>
      <c r="F10" s="56"/>
      <c r="G10" s="56">
        <f>D10</f>
        <v>786000</v>
      </c>
      <c r="H10" s="5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5.45">
      <c r="A11" s="1">
        <v>4</v>
      </c>
      <c r="B11" s="176" t="s">
        <v>304</v>
      </c>
      <c r="C11" s="56">
        <v>1500000</v>
      </c>
      <c r="D11" s="56">
        <v>510000</v>
      </c>
      <c r="E11" s="56">
        <f>C11</f>
        <v>1500000</v>
      </c>
      <c r="F11" s="58"/>
      <c r="G11" s="56">
        <f>D11</f>
        <v>510000</v>
      </c>
      <c r="H11" s="5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4.6" customHeight="1">
      <c r="A12" s="1">
        <v>5</v>
      </c>
      <c r="B12" s="50" t="s">
        <v>205</v>
      </c>
      <c r="C12" s="58">
        <f t="shared" ref="C12:H12" si="0">SUM(C8:C11)</f>
        <v>4000000</v>
      </c>
      <c r="D12" s="58">
        <f t="shared" si="0"/>
        <v>2773000</v>
      </c>
      <c r="E12" s="58">
        <f t="shared" si="0"/>
        <v>4000000</v>
      </c>
      <c r="F12" s="58">
        <f t="shared" si="0"/>
        <v>0</v>
      </c>
      <c r="G12" s="58">
        <f t="shared" si="0"/>
        <v>2773000</v>
      </c>
      <c r="H12" s="58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15">
      <c r="B13" s="117"/>
      <c r="H13" s="1" t="s">
        <v>315</v>
      </c>
    </row>
    <row r="14" spans="1:24" ht="14.15">
      <c r="B14" s="117"/>
    </row>
    <row r="15" spans="1:24" ht="14.15">
      <c r="B15" s="117"/>
    </row>
  </sheetData>
  <mergeCells count="2">
    <mergeCell ref="B2:H2"/>
    <mergeCell ref="E3:H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11 ktgvetési mérleg</vt:lpstr>
      <vt:lpstr>1 bevétel-kiadás</vt:lpstr>
      <vt:lpstr>2 helyi adó bev.</vt:lpstr>
      <vt:lpstr>3 tám.ért. bev-kiad.</vt:lpstr>
      <vt:lpstr>4 ktgvetési tám. bev.</vt:lpstr>
      <vt:lpstr>5 EU-s pr. bev-kiad.</vt:lpstr>
      <vt:lpstr>7 átadott pénzeszk.</vt:lpstr>
      <vt:lpstr>6 Ber-Felúj. kiad.</vt:lpstr>
      <vt:lpstr>8 ellátotak jutt.</vt:lpstr>
      <vt:lpstr>9 létszám</vt:lpstr>
      <vt:lpstr>10 közvetett tám-ok kiad.</vt:lpstr>
      <vt:lpstr>12 EI felh.terv</vt:lpstr>
      <vt:lpstr>Munka1</vt:lpstr>
      <vt:lpstr>'1 bevétel-kiadás'!Nyomtatási_terület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itretyko</cp:lastModifiedBy>
  <cp:lastPrinted>2020-07-07T13:25:06Z</cp:lastPrinted>
  <dcterms:created xsi:type="dcterms:W3CDTF">2013-02-08T06:30:04Z</dcterms:created>
  <dcterms:modified xsi:type="dcterms:W3CDTF">2020-07-20T11:48:24Z</dcterms:modified>
</cp:coreProperties>
</file>